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x12149621\Documents\Contrato Corporativo da MGS\Contrato nº 9490926-2026\3º Termo Aditivo\Anexos\"/>
    </mc:Choice>
  </mc:AlternateContent>
  <xr:revisionPtr revIDLastSave="0" documentId="8_{2EC25373-241D-4D7D-8043-42B0CAF966D3}" xr6:coauthVersionLast="47" xr6:coauthVersionMax="47" xr10:uidLastSave="{00000000-0000-0000-0000-000000000000}"/>
  <bookViews>
    <workbookView xWindow="28680" yWindow="2640" windowWidth="21840" windowHeight="13020" xr2:uid="{6D85ACB8-B60C-45BF-B571-3095B470724E}"/>
  </bookViews>
  <sheets>
    <sheet name="I.Anexo A " sheetId="1" r:id="rId1"/>
  </sheets>
  <externalReferences>
    <externalReference r:id="rId2"/>
  </externalReferences>
  <definedNames>
    <definedName name="_xlnm._FilterDatabase" localSheetId="0" hidden="1">'I.Anexo A '!$A$1:$AT$729</definedName>
    <definedName name="_xlnm.Print_Area" localSheetId="0">'I.Anexo A '!$D$1:$AT$732</definedName>
    <definedName name="_xlnm.Print_Titles" localSheetId="0">'I.Anexo A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Q728" i="1" l="1"/>
  <c r="AR728" i="1" s="1"/>
  <c r="AP728" i="1"/>
  <c r="AO728" i="1"/>
  <c r="AM728" i="1"/>
  <c r="AN728" i="1" s="1"/>
  <c r="AL728" i="1"/>
  <c r="AK728" i="1"/>
  <c r="AE728" i="1"/>
  <c r="AC728" i="1"/>
  <c r="AB728" i="1"/>
  <c r="AA728" i="1"/>
  <c r="Y728" i="1"/>
  <c r="X728" i="1"/>
  <c r="V728" i="1"/>
  <c r="T728" i="1"/>
  <c r="S728" i="1"/>
  <c r="R728" i="1"/>
  <c r="Q728" i="1"/>
  <c r="P728" i="1"/>
  <c r="O728" i="1"/>
  <c r="N728" i="1"/>
  <c r="M728" i="1"/>
  <c r="U728" i="1" s="1"/>
  <c r="L728" i="1"/>
  <c r="F728" i="1"/>
  <c r="G728" i="1" s="1"/>
  <c r="E728" i="1"/>
  <c r="C728" i="1"/>
  <c r="B728" i="1"/>
  <c r="A728" i="1"/>
  <c r="AP727" i="1"/>
  <c r="AO727" i="1"/>
  <c r="AL727" i="1"/>
  <c r="AK727" i="1"/>
  <c r="AE727" i="1"/>
  <c r="AC727" i="1"/>
  <c r="AB727" i="1"/>
  <c r="AA727" i="1"/>
  <c r="Y727" i="1"/>
  <c r="X727" i="1"/>
  <c r="V727" i="1"/>
  <c r="T727" i="1"/>
  <c r="S727" i="1"/>
  <c r="R727" i="1"/>
  <c r="Q727" i="1"/>
  <c r="P727" i="1"/>
  <c r="O727" i="1"/>
  <c r="N727" i="1"/>
  <c r="M727" i="1"/>
  <c r="U727" i="1" s="1"/>
  <c r="K727" i="1"/>
  <c r="L727" i="1" s="1"/>
  <c r="F727" i="1"/>
  <c r="G727" i="1" s="1"/>
  <c r="E727" i="1"/>
  <c r="C727" i="1"/>
  <c r="B727" i="1"/>
  <c r="A727" i="1"/>
  <c r="AQ726" i="1"/>
  <c r="AR726" i="1" s="1"/>
  <c r="AP726" i="1"/>
  <c r="AO726" i="1"/>
  <c r="AM726" i="1"/>
  <c r="AN726" i="1" s="1"/>
  <c r="AL726" i="1"/>
  <c r="AK726" i="1"/>
  <c r="AE726" i="1"/>
  <c r="AC726" i="1"/>
  <c r="AB726" i="1"/>
  <c r="AA726" i="1"/>
  <c r="Y726" i="1"/>
  <c r="X726" i="1"/>
  <c r="V726" i="1"/>
  <c r="T726" i="1"/>
  <c r="S726" i="1"/>
  <c r="R726" i="1"/>
  <c r="Q726" i="1"/>
  <c r="P726" i="1"/>
  <c r="O726" i="1"/>
  <c r="N726" i="1"/>
  <c r="M726" i="1"/>
  <c r="U726" i="1" s="1"/>
  <c r="L726" i="1"/>
  <c r="F726" i="1"/>
  <c r="G726" i="1" s="1"/>
  <c r="E726" i="1"/>
  <c r="C726" i="1"/>
  <c r="B726" i="1"/>
  <c r="A726" i="1"/>
  <c r="AP725" i="1"/>
  <c r="AO725" i="1"/>
  <c r="AL725" i="1"/>
  <c r="AK725" i="1"/>
  <c r="AE725" i="1"/>
  <c r="AC725" i="1"/>
  <c r="AB725" i="1"/>
  <c r="AA725" i="1"/>
  <c r="Y725" i="1"/>
  <c r="X725" i="1"/>
  <c r="V725" i="1"/>
  <c r="T725" i="1"/>
  <c r="S725" i="1"/>
  <c r="R725" i="1"/>
  <c r="Q725" i="1"/>
  <c r="P725" i="1"/>
  <c r="O725" i="1"/>
  <c r="N725" i="1"/>
  <c r="M725" i="1"/>
  <c r="U725" i="1" s="1"/>
  <c r="K725" i="1"/>
  <c r="L725" i="1" s="1"/>
  <c r="F725" i="1"/>
  <c r="G725" i="1" s="1"/>
  <c r="E725" i="1"/>
  <c r="C725" i="1"/>
  <c r="B725" i="1"/>
  <c r="A725" i="1"/>
  <c r="AP724" i="1"/>
  <c r="AO724" i="1"/>
  <c r="AR724" i="1" s="1"/>
  <c r="AL724" i="1"/>
  <c r="AK724" i="1"/>
  <c r="AN724" i="1" s="1"/>
  <c r="AE724" i="1"/>
  <c r="AC724" i="1"/>
  <c r="AB724" i="1"/>
  <c r="AA724" i="1"/>
  <c r="Y724" i="1"/>
  <c r="X724" i="1"/>
  <c r="V724" i="1"/>
  <c r="T724" i="1"/>
  <c r="S724" i="1"/>
  <c r="R724" i="1"/>
  <c r="Q724" i="1"/>
  <c r="P724" i="1"/>
  <c r="O724" i="1"/>
  <c r="N724" i="1"/>
  <c r="M724" i="1"/>
  <c r="U724" i="1" s="1"/>
  <c r="L724" i="1"/>
  <c r="F724" i="1"/>
  <c r="G724" i="1" s="1"/>
  <c r="E724" i="1"/>
  <c r="C724" i="1"/>
  <c r="B724" i="1"/>
  <c r="A724" i="1"/>
  <c r="AP723" i="1"/>
  <c r="AO723" i="1"/>
  <c r="AR723" i="1" s="1"/>
  <c r="AL723" i="1"/>
  <c r="AK723" i="1"/>
  <c r="AN723" i="1" s="1"/>
  <c r="AE723" i="1"/>
  <c r="AC723" i="1"/>
  <c r="AB723" i="1"/>
  <c r="AA723" i="1"/>
  <c r="Y723" i="1"/>
  <c r="X723" i="1"/>
  <c r="V723" i="1"/>
  <c r="T723" i="1"/>
  <c r="S723" i="1"/>
  <c r="R723" i="1"/>
  <c r="Q723" i="1"/>
  <c r="P723" i="1"/>
  <c r="O723" i="1"/>
  <c r="N723" i="1"/>
  <c r="M723" i="1"/>
  <c r="U723" i="1" s="1"/>
  <c r="L723" i="1"/>
  <c r="F723" i="1"/>
  <c r="G723" i="1" s="1"/>
  <c r="E723" i="1"/>
  <c r="C723" i="1"/>
  <c r="B723" i="1"/>
  <c r="A723" i="1"/>
  <c r="AP722" i="1"/>
  <c r="AO722" i="1"/>
  <c r="AL722" i="1"/>
  <c r="AK722" i="1"/>
  <c r="AE722" i="1"/>
  <c r="AC722" i="1"/>
  <c r="AB722" i="1"/>
  <c r="AA722" i="1"/>
  <c r="Y722" i="1"/>
  <c r="X722" i="1"/>
  <c r="V722" i="1"/>
  <c r="T722" i="1"/>
  <c r="S722" i="1"/>
  <c r="R722" i="1"/>
  <c r="Q722" i="1"/>
  <c r="P722" i="1"/>
  <c r="O722" i="1"/>
  <c r="N722" i="1"/>
  <c r="M722" i="1"/>
  <c r="U722" i="1" s="1"/>
  <c r="K722" i="1"/>
  <c r="L722" i="1" s="1"/>
  <c r="F722" i="1"/>
  <c r="G722" i="1" s="1"/>
  <c r="E722" i="1"/>
  <c r="C722" i="1"/>
  <c r="B722" i="1"/>
  <c r="A722" i="1"/>
  <c r="AP721" i="1"/>
  <c r="AO721" i="1"/>
  <c r="AR721" i="1" s="1"/>
  <c r="AL721" i="1"/>
  <c r="AK721" i="1"/>
  <c r="AN721" i="1" s="1"/>
  <c r="AE721" i="1"/>
  <c r="AC721" i="1"/>
  <c r="AB721" i="1"/>
  <c r="AA721" i="1"/>
  <c r="Y721" i="1"/>
  <c r="X721" i="1"/>
  <c r="T721" i="1"/>
  <c r="S721" i="1"/>
  <c r="R721" i="1"/>
  <c r="Q721" i="1"/>
  <c r="P721" i="1"/>
  <c r="O721" i="1"/>
  <c r="N721" i="1"/>
  <c r="M721" i="1"/>
  <c r="U721" i="1" s="1"/>
  <c r="L721" i="1"/>
  <c r="F721" i="1"/>
  <c r="G721" i="1" s="1"/>
  <c r="E721" i="1"/>
  <c r="C721" i="1"/>
  <c r="B721" i="1"/>
  <c r="A721" i="1"/>
  <c r="AP720" i="1"/>
  <c r="AO720" i="1"/>
  <c r="AR720" i="1" s="1"/>
  <c r="AL720" i="1"/>
  <c r="AK720" i="1"/>
  <c r="AN720" i="1" s="1"/>
  <c r="AE720" i="1"/>
  <c r="AC720" i="1"/>
  <c r="AB720" i="1"/>
  <c r="AA720" i="1"/>
  <c r="Y720" i="1"/>
  <c r="X720" i="1"/>
  <c r="V720" i="1"/>
  <c r="T720" i="1"/>
  <c r="S720" i="1"/>
  <c r="R720" i="1"/>
  <c r="Q720" i="1"/>
  <c r="P720" i="1"/>
  <c r="O720" i="1"/>
  <c r="N720" i="1"/>
  <c r="M720" i="1"/>
  <c r="U720" i="1" s="1"/>
  <c r="L720" i="1"/>
  <c r="F720" i="1"/>
  <c r="G720" i="1" s="1"/>
  <c r="E720" i="1"/>
  <c r="C720" i="1"/>
  <c r="B720" i="1"/>
  <c r="A720" i="1"/>
  <c r="AQ719" i="1"/>
  <c r="AR719" i="1" s="1"/>
  <c r="AP719" i="1"/>
  <c r="AO719" i="1"/>
  <c r="AM719" i="1"/>
  <c r="AN719" i="1" s="1"/>
  <c r="AL719" i="1"/>
  <c r="AK719" i="1"/>
  <c r="AE719" i="1"/>
  <c r="AC719" i="1"/>
  <c r="AB719" i="1"/>
  <c r="AA719" i="1"/>
  <c r="Y719" i="1"/>
  <c r="X719" i="1"/>
  <c r="V719" i="1"/>
  <c r="T719" i="1"/>
  <c r="S719" i="1"/>
  <c r="R719" i="1"/>
  <c r="Q719" i="1"/>
  <c r="P719" i="1"/>
  <c r="O719" i="1"/>
  <c r="N719" i="1"/>
  <c r="M719" i="1"/>
  <c r="U719" i="1" s="1"/>
  <c r="L719" i="1"/>
  <c r="F719" i="1"/>
  <c r="G719" i="1" s="1"/>
  <c r="E719" i="1"/>
  <c r="C719" i="1"/>
  <c r="B719" i="1"/>
  <c r="A719" i="1"/>
  <c r="AP718" i="1"/>
  <c r="AO718" i="1"/>
  <c r="AL718" i="1"/>
  <c r="AK718" i="1"/>
  <c r="AE718" i="1"/>
  <c r="AC718" i="1"/>
  <c r="AB718" i="1"/>
  <c r="AA718" i="1"/>
  <c r="Y718" i="1"/>
  <c r="X718" i="1"/>
  <c r="V718" i="1"/>
  <c r="T718" i="1"/>
  <c r="S718" i="1"/>
  <c r="R718" i="1"/>
  <c r="Q718" i="1"/>
  <c r="P718" i="1"/>
  <c r="O718" i="1"/>
  <c r="N718" i="1"/>
  <c r="M718" i="1"/>
  <c r="U718" i="1" s="1"/>
  <c r="K718" i="1"/>
  <c r="L718" i="1" s="1"/>
  <c r="F718" i="1"/>
  <c r="G718" i="1" s="1"/>
  <c r="E718" i="1"/>
  <c r="C718" i="1"/>
  <c r="B718" i="1"/>
  <c r="A718" i="1"/>
  <c r="AP717" i="1"/>
  <c r="AO717" i="1"/>
  <c r="AR717" i="1" s="1"/>
  <c r="AL717" i="1"/>
  <c r="AK717" i="1"/>
  <c r="AN717" i="1" s="1"/>
  <c r="AE717" i="1"/>
  <c r="AC717" i="1"/>
  <c r="AB717" i="1"/>
  <c r="AA717" i="1"/>
  <c r="Y717" i="1"/>
  <c r="X717" i="1"/>
  <c r="T717" i="1"/>
  <c r="S717" i="1"/>
  <c r="R717" i="1"/>
  <c r="Q717" i="1"/>
  <c r="P717" i="1"/>
  <c r="O717" i="1"/>
  <c r="N717" i="1"/>
  <c r="M717" i="1"/>
  <c r="U717" i="1" s="1"/>
  <c r="L717" i="1"/>
  <c r="F717" i="1"/>
  <c r="G717" i="1" s="1"/>
  <c r="E717" i="1"/>
  <c r="C717" i="1"/>
  <c r="B717" i="1"/>
  <c r="A717" i="1"/>
  <c r="AP716" i="1"/>
  <c r="AO716" i="1"/>
  <c r="AR716" i="1" s="1"/>
  <c r="AL716" i="1"/>
  <c r="AK716" i="1"/>
  <c r="AN716" i="1" s="1"/>
  <c r="AE716" i="1"/>
  <c r="AC716" i="1"/>
  <c r="AB716" i="1"/>
  <c r="AA716" i="1"/>
  <c r="Y716" i="1"/>
  <c r="X716" i="1"/>
  <c r="T716" i="1"/>
  <c r="S716" i="1"/>
  <c r="R716" i="1"/>
  <c r="Q716" i="1"/>
  <c r="P716" i="1"/>
  <c r="O716" i="1"/>
  <c r="N716" i="1"/>
  <c r="M716" i="1"/>
  <c r="U716" i="1" s="1"/>
  <c r="L716" i="1"/>
  <c r="F716" i="1"/>
  <c r="G716" i="1" s="1"/>
  <c r="E716" i="1"/>
  <c r="C716" i="1"/>
  <c r="B716" i="1"/>
  <c r="A716" i="1"/>
  <c r="AP715" i="1"/>
  <c r="AO715" i="1"/>
  <c r="AR715" i="1" s="1"/>
  <c r="AL715" i="1"/>
  <c r="AK715" i="1"/>
  <c r="AN715" i="1" s="1"/>
  <c r="AE715" i="1"/>
  <c r="AC715" i="1"/>
  <c r="AB715" i="1"/>
  <c r="AA715" i="1"/>
  <c r="Y715" i="1"/>
  <c r="X715" i="1"/>
  <c r="V715" i="1"/>
  <c r="T715" i="1"/>
  <c r="S715" i="1"/>
  <c r="R715" i="1"/>
  <c r="Q715" i="1"/>
  <c r="P715" i="1"/>
  <c r="O715" i="1"/>
  <c r="N715" i="1"/>
  <c r="M715" i="1"/>
  <c r="U715" i="1" s="1"/>
  <c r="L715" i="1"/>
  <c r="F715" i="1"/>
  <c r="G715" i="1" s="1"/>
  <c r="E715" i="1"/>
  <c r="C715" i="1"/>
  <c r="B715" i="1"/>
  <c r="A715" i="1"/>
  <c r="AP714" i="1"/>
  <c r="AO714" i="1"/>
  <c r="AR714" i="1" s="1"/>
  <c r="AL714" i="1"/>
  <c r="AK714" i="1"/>
  <c r="AN714" i="1" s="1"/>
  <c r="AE714" i="1"/>
  <c r="AC714" i="1"/>
  <c r="AB714" i="1"/>
  <c r="AA714" i="1"/>
  <c r="Y714" i="1"/>
  <c r="X714" i="1"/>
  <c r="V714" i="1"/>
  <c r="T714" i="1"/>
  <c r="S714" i="1"/>
  <c r="R714" i="1"/>
  <c r="Q714" i="1"/>
  <c r="P714" i="1"/>
  <c r="O714" i="1"/>
  <c r="N714" i="1"/>
  <c r="M714" i="1"/>
  <c r="U714" i="1" s="1"/>
  <c r="L714" i="1"/>
  <c r="F714" i="1"/>
  <c r="G714" i="1" s="1"/>
  <c r="E714" i="1"/>
  <c r="C714" i="1"/>
  <c r="B714" i="1"/>
  <c r="A714" i="1"/>
  <c r="AP713" i="1"/>
  <c r="AO713" i="1"/>
  <c r="AR713" i="1" s="1"/>
  <c r="AL713" i="1"/>
  <c r="AK713" i="1"/>
  <c r="AN713" i="1" s="1"/>
  <c r="AE713" i="1"/>
  <c r="AC713" i="1"/>
  <c r="AB713" i="1"/>
  <c r="AA713" i="1"/>
  <c r="Y713" i="1"/>
  <c r="X713" i="1"/>
  <c r="V713" i="1"/>
  <c r="T713" i="1"/>
  <c r="S713" i="1"/>
  <c r="R713" i="1"/>
  <c r="Q713" i="1"/>
  <c r="P713" i="1"/>
  <c r="O713" i="1"/>
  <c r="N713" i="1"/>
  <c r="M713" i="1"/>
  <c r="U713" i="1" s="1"/>
  <c r="L713" i="1"/>
  <c r="F713" i="1"/>
  <c r="G713" i="1" s="1"/>
  <c r="E713" i="1"/>
  <c r="C713" i="1"/>
  <c r="B713" i="1"/>
  <c r="A713" i="1"/>
  <c r="AP712" i="1"/>
  <c r="AO712" i="1"/>
  <c r="AR712" i="1" s="1"/>
  <c r="AL712" i="1"/>
  <c r="AK712" i="1"/>
  <c r="AN712" i="1" s="1"/>
  <c r="AE712" i="1"/>
  <c r="AC712" i="1"/>
  <c r="AB712" i="1"/>
  <c r="AA712" i="1"/>
  <c r="Y712" i="1"/>
  <c r="X712" i="1"/>
  <c r="T712" i="1"/>
  <c r="S712" i="1"/>
  <c r="R712" i="1"/>
  <c r="Q712" i="1"/>
  <c r="P712" i="1"/>
  <c r="O712" i="1"/>
  <c r="N712" i="1"/>
  <c r="M712" i="1"/>
  <c r="U712" i="1" s="1"/>
  <c r="L712" i="1"/>
  <c r="F712" i="1"/>
  <c r="G712" i="1" s="1"/>
  <c r="E712" i="1"/>
  <c r="C712" i="1"/>
  <c r="B712" i="1"/>
  <c r="A712" i="1"/>
  <c r="AP711" i="1"/>
  <c r="AO711" i="1"/>
  <c r="AR711" i="1" s="1"/>
  <c r="AL711" i="1"/>
  <c r="AK711" i="1"/>
  <c r="AN711" i="1" s="1"/>
  <c r="AE711" i="1"/>
  <c r="AC711" i="1"/>
  <c r="AB711" i="1"/>
  <c r="AA711" i="1"/>
  <c r="Y711" i="1"/>
  <c r="X711" i="1"/>
  <c r="T711" i="1"/>
  <c r="S711" i="1"/>
  <c r="R711" i="1"/>
  <c r="Q711" i="1"/>
  <c r="P711" i="1"/>
  <c r="O711" i="1"/>
  <c r="N711" i="1"/>
  <c r="M711" i="1"/>
  <c r="U711" i="1" s="1"/>
  <c r="L711" i="1"/>
  <c r="F711" i="1"/>
  <c r="G711" i="1" s="1"/>
  <c r="E711" i="1"/>
  <c r="C711" i="1"/>
  <c r="B711" i="1"/>
  <c r="A711" i="1"/>
  <c r="AP710" i="1"/>
  <c r="AO710" i="1"/>
  <c r="AL710" i="1"/>
  <c r="AK710" i="1"/>
  <c r="AE710" i="1"/>
  <c r="AC710" i="1"/>
  <c r="AB710" i="1"/>
  <c r="AA710" i="1"/>
  <c r="Y710" i="1"/>
  <c r="X710" i="1"/>
  <c r="T710" i="1"/>
  <c r="S710" i="1"/>
  <c r="R710" i="1"/>
  <c r="Q710" i="1"/>
  <c r="P710" i="1"/>
  <c r="O710" i="1"/>
  <c r="N710" i="1"/>
  <c r="M710" i="1"/>
  <c r="U710" i="1" s="1"/>
  <c r="K710" i="1"/>
  <c r="L710" i="1" s="1"/>
  <c r="F710" i="1"/>
  <c r="G710" i="1" s="1"/>
  <c r="E710" i="1"/>
  <c r="C710" i="1"/>
  <c r="B710" i="1"/>
  <c r="A710" i="1"/>
  <c r="AQ709" i="1"/>
  <c r="AR709" i="1" s="1"/>
  <c r="AP709" i="1"/>
  <c r="AO709" i="1"/>
  <c r="AM709" i="1"/>
  <c r="AN709" i="1" s="1"/>
  <c r="AL709" i="1"/>
  <c r="AK709" i="1"/>
  <c r="AE709" i="1"/>
  <c r="AC709" i="1"/>
  <c r="AB709" i="1"/>
  <c r="AA709" i="1"/>
  <c r="Y709" i="1"/>
  <c r="X709" i="1"/>
  <c r="T709" i="1"/>
  <c r="S709" i="1"/>
  <c r="R709" i="1"/>
  <c r="Q709" i="1"/>
  <c r="P709" i="1"/>
  <c r="O709" i="1"/>
  <c r="N709" i="1"/>
  <c r="M709" i="1"/>
  <c r="U709" i="1" s="1"/>
  <c r="L709" i="1"/>
  <c r="F709" i="1"/>
  <c r="G709" i="1" s="1"/>
  <c r="E709" i="1"/>
  <c r="C709" i="1"/>
  <c r="B709" i="1"/>
  <c r="A709" i="1"/>
  <c r="AP708" i="1"/>
  <c r="AO708" i="1"/>
  <c r="AL708" i="1"/>
  <c r="AK708" i="1"/>
  <c r="AE708" i="1"/>
  <c r="AC708" i="1"/>
  <c r="AB708" i="1"/>
  <c r="AA708" i="1"/>
  <c r="Y708" i="1"/>
  <c r="X708" i="1"/>
  <c r="T708" i="1"/>
  <c r="S708" i="1"/>
  <c r="R708" i="1"/>
  <c r="Q708" i="1"/>
  <c r="P708" i="1"/>
  <c r="O708" i="1"/>
  <c r="N708" i="1"/>
  <c r="M708" i="1"/>
  <c r="U708" i="1" s="1"/>
  <c r="K708" i="1"/>
  <c r="L708" i="1" s="1"/>
  <c r="F708" i="1"/>
  <c r="G708" i="1" s="1"/>
  <c r="E708" i="1"/>
  <c r="C708" i="1"/>
  <c r="B708" i="1"/>
  <c r="A708" i="1"/>
  <c r="AP707" i="1"/>
  <c r="AO707" i="1"/>
  <c r="AR707" i="1" s="1"/>
  <c r="AL707" i="1"/>
  <c r="AK707" i="1"/>
  <c r="AN707" i="1" s="1"/>
  <c r="AE707" i="1"/>
  <c r="AC707" i="1"/>
  <c r="AB707" i="1"/>
  <c r="AA707" i="1"/>
  <c r="Y707" i="1"/>
  <c r="X707" i="1"/>
  <c r="T707" i="1"/>
  <c r="S707" i="1"/>
  <c r="R707" i="1"/>
  <c r="Q707" i="1"/>
  <c r="P707" i="1"/>
  <c r="O707" i="1"/>
  <c r="N707" i="1"/>
  <c r="M707" i="1"/>
  <c r="U707" i="1" s="1"/>
  <c r="L707" i="1"/>
  <c r="F707" i="1"/>
  <c r="G707" i="1" s="1"/>
  <c r="E707" i="1"/>
  <c r="C707" i="1"/>
  <c r="B707" i="1"/>
  <c r="A707" i="1"/>
  <c r="AP706" i="1"/>
  <c r="AO706" i="1"/>
  <c r="AR706" i="1" s="1"/>
  <c r="AL706" i="1"/>
  <c r="AK706" i="1"/>
  <c r="AN706" i="1" s="1"/>
  <c r="AE706" i="1"/>
  <c r="AC706" i="1"/>
  <c r="AB706" i="1"/>
  <c r="AA706" i="1"/>
  <c r="Y706" i="1"/>
  <c r="X706" i="1"/>
  <c r="T706" i="1"/>
  <c r="S706" i="1"/>
  <c r="R706" i="1"/>
  <c r="Q706" i="1"/>
  <c r="P706" i="1"/>
  <c r="O706" i="1"/>
  <c r="N706" i="1"/>
  <c r="M706" i="1"/>
  <c r="L706" i="1"/>
  <c r="F706" i="1"/>
  <c r="E706" i="1"/>
  <c r="C706" i="1"/>
  <c r="B706" i="1"/>
  <c r="AP705" i="1"/>
  <c r="AO705" i="1"/>
  <c r="AR705" i="1" s="1"/>
  <c r="AL705" i="1"/>
  <c r="AK705" i="1"/>
  <c r="AN705" i="1" s="1"/>
  <c r="AE705" i="1"/>
  <c r="AC705" i="1"/>
  <c r="AB705" i="1"/>
  <c r="AA705" i="1"/>
  <c r="Y705" i="1"/>
  <c r="Z705" i="1" s="1"/>
  <c r="X705" i="1"/>
  <c r="T705" i="1"/>
  <c r="S705" i="1"/>
  <c r="R705" i="1"/>
  <c r="Q705" i="1"/>
  <c r="P705" i="1"/>
  <c r="O705" i="1"/>
  <c r="N705" i="1"/>
  <c r="M705" i="1"/>
  <c r="U705" i="1" s="1"/>
  <c r="L705" i="1"/>
  <c r="F705" i="1"/>
  <c r="E705" i="1"/>
  <c r="C705" i="1"/>
  <c r="B705" i="1"/>
  <c r="AP704" i="1"/>
  <c r="AO704" i="1"/>
  <c r="AL704" i="1"/>
  <c r="AK704" i="1"/>
  <c r="AE704" i="1"/>
  <c r="AC704" i="1"/>
  <c r="AB704" i="1"/>
  <c r="AA704" i="1"/>
  <c r="Y704" i="1"/>
  <c r="Z704" i="1" s="1"/>
  <c r="X704" i="1"/>
  <c r="T704" i="1"/>
  <c r="S704" i="1"/>
  <c r="R704" i="1"/>
  <c r="Q704" i="1"/>
  <c r="P704" i="1"/>
  <c r="O704" i="1"/>
  <c r="N704" i="1"/>
  <c r="M704" i="1"/>
  <c r="U704" i="1" s="1"/>
  <c r="K704" i="1"/>
  <c r="L704" i="1" s="1"/>
  <c r="F704" i="1"/>
  <c r="E704" i="1"/>
  <c r="C704" i="1"/>
  <c r="B704" i="1"/>
  <c r="AP703" i="1"/>
  <c r="AO703" i="1"/>
  <c r="AR703" i="1" s="1"/>
  <c r="AL703" i="1"/>
  <c r="AK703" i="1"/>
  <c r="AN703" i="1" s="1"/>
  <c r="AE703" i="1"/>
  <c r="AC703" i="1"/>
  <c r="AB703" i="1"/>
  <c r="AA703" i="1"/>
  <c r="Y703" i="1"/>
  <c r="Z703" i="1" s="1"/>
  <c r="X703" i="1"/>
  <c r="T703" i="1"/>
  <c r="S703" i="1"/>
  <c r="R703" i="1"/>
  <c r="Q703" i="1"/>
  <c r="P703" i="1"/>
  <c r="O703" i="1"/>
  <c r="N703" i="1"/>
  <c r="M703" i="1"/>
  <c r="U703" i="1" s="1"/>
  <c r="L703" i="1"/>
  <c r="F703" i="1"/>
  <c r="E703" i="1"/>
  <c r="C703" i="1"/>
  <c r="B703" i="1"/>
  <c r="AP702" i="1"/>
  <c r="AO702" i="1"/>
  <c r="AR702" i="1" s="1"/>
  <c r="AL702" i="1"/>
  <c r="AK702" i="1"/>
  <c r="AN702" i="1" s="1"/>
  <c r="AE702" i="1"/>
  <c r="AC702" i="1"/>
  <c r="AB702" i="1"/>
  <c r="AA702" i="1"/>
  <c r="Y702" i="1"/>
  <c r="X702" i="1"/>
  <c r="T702" i="1"/>
  <c r="S702" i="1"/>
  <c r="R702" i="1"/>
  <c r="Q702" i="1"/>
  <c r="P702" i="1"/>
  <c r="O702" i="1"/>
  <c r="N702" i="1"/>
  <c r="M702" i="1"/>
  <c r="L702" i="1"/>
  <c r="F702" i="1"/>
  <c r="E702" i="1"/>
  <c r="C702" i="1"/>
  <c r="B702" i="1"/>
  <c r="AQ701" i="1"/>
  <c r="AR701" i="1" s="1"/>
  <c r="AP701" i="1"/>
  <c r="AO701" i="1"/>
  <c r="AM701" i="1"/>
  <c r="AN701" i="1" s="1"/>
  <c r="AL701" i="1"/>
  <c r="AK701" i="1"/>
  <c r="AE701" i="1"/>
  <c r="AC701" i="1"/>
  <c r="AB701" i="1"/>
  <c r="AA701" i="1"/>
  <c r="Y701" i="1"/>
  <c r="Z701" i="1" s="1"/>
  <c r="X701" i="1"/>
  <c r="T701" i="1"/>
  <c r="S701" i="1"/>
  <c r="R701" i="1"/>
  <c r="Q701" i="1"/>
  <c r="P701" i="1"/>
  <c r="O701" i="1"/>
  <c r="N701" i="1"/>
  <c r="M701" i="1"/>
  <c r="U701" i="1" s="1"/>
  <c r="L701" i="1"/>
  <c r="F701" i="1"/>
  <c r="E701" i="1"/>
  <c r="C701" i="1"/>
  <c r="B701" i="1"/>
  <c r="AP700" i="1"/>
  <c r="AO700" i="1"/>
  <c r="AL700" i="1"/>
  <c r="AK700" i="1"/>
  <c r="AE700" i="1"/>
  <c r="AC700" i="1"/>
  <c r="AB700" i="1"/>
  <c r="AA700" i="1"/>
  <c r="Y700" i="1"/>
  <c r="X700" i="1"/>
  <c r="T700" i="1"/>
  <c r="S700" i="1"/>
  <c r="R700" i="1"/>
  <c r="Q700" i="1"/>
  <c r="P700" i="1"/>
  <c r="O700" i="1"/>
  <c r="N700" i="1"/>
  <c r="M700" i="1"/>
  <c r="K700" i="1"/>
  <c r="L700" i="1" s="1"/>
  <c r="F700" i="1"/>
  <c r="E700" i="1"/>
  <c r="C700" i="1"/>
  <c r="B700" i="1"/>
  <c r="AP699" i="1"/>
  <c r="AO699" i="1"/>
  <c r="AR699" i="1" s="1"/>
  <c r="AL699" i="1"/>
  <c r="AK699" i="1"/>
  <c r="AN699" i="1" s="1"/>
  <c r="AE699" i="1"/>
  <c r="AC699" i="1"/>
  <c r="AB699" i="1"/>
  <c r="AA699" i="1"/>
  <c r="Y699" i="1"/>
  <c r="X699" i="1"/>
  <c r="T699" i="1"/>
  <c r="S699" i="1"/>
  <c r="R699" i="1"/>
  <c r="Q699" i="1"/>
  <c r="P699" i="1"/>
  <c r="O699" i="1"/>
  <c r="N699" i="1"/>
  <c r="M699" i="1"/>
  <c r="U699" i="1" s="1"/>
  <c r="L699" i="1"/>
  <c r="F699" i="1"/>
  <c r="E699" i="1"/>
  <c r="C699" i="1"/>
  <c r="B699" i="1"/>
  <c r="AP698" i="1"/>
  <c r="AO698" i="1"/>
  <c r="AR698" i="1" s="1"/>
  <c r="AL698" i="1"/>
  <c r="AK698" i="1"/>
  <c r="AN698" i="1" s="1"/>
  <c r="AE698" i="1"/>
  <c r="AC698" i="1"/>
  <c r="AB698" i="1"/>
  <c r="AA698" i="1"/>
  <c r="Y698" i="1"/>
  <c r="X698" i="1"/>
  <c r="V698" i="1"/>
  <c r="T698" i="1"/>
  <c r="S698" i="1"/>
  <c r="R698" i="1"/>
  <c r="Q698" i="1"/>
  <c r="P698" i="1"/>
  <c r="O698" i="1"/>
  <c r="N698" i="1"/>
  <c r="M698" i="1"/>
  <c r="U698" i="1" s="1"/>
  <c r="L698" i="1"/>
  <c r="F698" i="1"/>
  <c r="E698" i="1"/>
  <c r="C698" i="1"/>
  <c r="B698" i="1"/>
  <c r="AP697" i="1"/>
  <c r="AO697" i="1"/>
  <c r="AR697" i="1" s="1"/>
  <c r="AL697" i="1"/>
  <c r="AK697" i="1"/>
  <c r="AN697" i="1" s="1"/>
  <c r="AE697" i="1"/>
  <c r="AC697" i="1"/>
  <c r="AB697" i="1"/>
  <c r="AA697" i="1"/>
  <c r="Y697" i="1"/>
  <c r="Z697" i="1" s="1"/>
  <c r="X697" i="1"/>
  <c r="T697" i="1"/>
  <c r="S697" i="1"/>
  <c r="R697" i="1"/>
  <c r="Q697" i="1"/>
  <c r="P697" i="1"/>
  <c r="O697" i="1"/>
  <c r="N697" i="1"/>
  <c r="M697" i="1"/>
  <c r="U697" i="1" s="1"/>
  <c r="L697" i="1"/>
  <c r="F697" i="1"/>
  <c r="E697" i="1"/>
  <c r="C697" i="1"/>
  <c r="B697" i="1"/>
  <c r="AQ696" i="1"/>
  <c r="AR696" i="1" s="1"/>
  <c r="AP696" i="1"/>
  <c r="AO696" i="1"/>
  <c r="AM696" i="1"/>
  <c r="AN696" i="1" s="1"/>
  <c r="AL696" i="1"/>
  <c r="AK696" i="1"/>
  <c r="AE696" i="1"/>
  <c r="AC696" i="1"/>
  <c r="AB696" i="1"/>
  <c r="AA696" i="1"/>
  <c r="Y696" i="1"/>
  <c r="Z696" i="1" s="1"/>
  <c r="X696" i="1"/>
  <c r="T696" i="1"/>
  <c r="S696" i="1"/>
  <c r="R696" i="1"/>
  <c r="Q696" i="1"/>
  <c r="P696" i="1"/>
  <c r="O696" i="1"/>
  <c r="N696" i="1"/>
  <c r="M696" i="1"/>
  <c r="L696" i="1"/>
  <c r="F696" i="1"/>
  <c r="E696" i="1"/>
  <c r="C696" i="1"/>
  <c r="B696" i="1"/>
  <c r="AP695" i="1"/>
  <c r="AO695" i="1"/>
  <c r="AR695" i="1" s="1"/>
  <c r="AL695" i="1"/>
  <c r="AK695" i="1"/>
  <c r="AN695" i="1" s="1"/>
  <c r="AE695" i="1"/>
  <c r="AC695" i="1"/>
  <c r="AB695" i="1"/>
  <c r="AA695" i="1"/>
  <c r="Y695" i="1"/>
  <c r="X695" i="1"/>
  <c r="T695" i="1"/>
  <c r="S695" i="1"/>
  <c r="R695" i="1"/>
  <c r="Q695" i="1"/>
  <c r="P695" i="1"/>
  <c r="O695" i="1"/>
  <c r="N695" i="1"/>
  <c r="M695" i="1"/>
  <c r="U695" i="1" s="1"/>
  <c r="L695" i="1"/>
  <c r="F695" i="1"/>
  <c r="E695" i="1"/>
  <c r="C695" i="1"/>
  <c r="B695" i="1"/>
  <c r="AP694" i="1"/>
  <c r="AO694" i="1"/>
  <c r="AR694" i="1" s="1"/>
  <c r="AL694" i="1"/>
  <c r="AK694" i="1"/>
  <c r="AN694" i="1" s="1"/>
  <c r="AE694" i="1"/>
  <c r="AC694" i="1"/>
  <c r="AB694" i="1"/>
  <c r="AA694" i="1"/>
  <c r="Y694" i="1"/>
  <c r="X694" i="1"/>
  <c r="T694" i="1"/>
  <c r="S694" i="1"/>
  <c r="R694" i="1"/>
  <c r="Q694" i="1"/>
  <c r="P694" i="1"/>
  <c r="O694" i="1"/>
  <c r="N694" i="1"/>
  <c r="M694" i="1"/>
  <c r="L694" i="1"/>
  <c r="F694" i="1"/>
  <c r="E694" i="1"/>
  <c r="C694" i="1"/>
  <c r="B694" i="1"/>
  <c r="AQ693" i="1"/>
  <c r="AR693" i="1" s="1"/>
  <c r="AP693" i="1"/>
  <c r="AO693" i="1"/>
  <c r="AM693" i="1"/>
  <c r="AN693" i="1" s="1"/>
  <c r="AL693" i="1"/>
  <c r="AK693" i="1"/>
  <c r="AE693" i="1"/>
  <c r="AC693" i="1"/>
  <c r="AB693" i="1"/>
  <c r="AA693" i="1"/>
  <c r="Y693" i="1"/>
  <c r="X693" i="1"/>
  <c r="T693" i="1"/>
  <c r="S693" i="1"/>
  <c r="R693" i="1"/>
  <c r="Q693" i="1"/>
  <c r="P693" i="1"/>
  <c r="O693" i="1"/>
  <c r="N693" i="1"/>
  <c r="M693" i="1"/>
  <c r="U693" i="1" s="1"/>
  <c r="L693" i="1"/>
  <c r="F693" i="1"/>
  <c r="E693" i="1"/>
  <c r="C693" i="1"/>
  <c r="B693" i="1"/>
  <c r="AP692" i="1"/>
  <c r="AO692" i="1"/>
  <c r="AR692" i="1" s="1"/>
  <c r="AL692" i="1"/>
  <c r="AK692" i="1"/>
  <c r="AN692" i="1" s="1"/>
  <c r="AE692" i="1"/>
  <c r="AC692" i="1"/>
  <c r="AB692" i="1"/>
  <c r="AA692" i="1"/>
  <c r="Y692" i="1"/>
  <c r="X692" i="1"/>
  <c r="T692" i="1"/>
  <c r="S692" i="1"/>
  <c r="R692" i="1"/>
  <c r="Q692" i="1"/>
  <c r="P692" i="1"/>
  <c r="O692" i="1"/>
  <c r="N692" i="1"/>
  <c r="M692" i="1"/>
  <c r="U692" i="1" s="1"/>
  <c r="L692" i="1"/>
  <c r="F692" i="1"/>
  <c r="G692" i="1" s="1"/>
  <c r="E692" i="1"/>
  <c r="C692" i="1"/>
  <c r="B692" i="1"/>
  <c r="A692" i="1"/>
  <c r="AP691" i="1"/>
  <c r="AO691" i="1"/>
  <c r="AR691" i="1" s="1"/>
  <c r="AL691" i="1"/>
  <c r="AK691" i="1"/>
  <c r="AN691" i="1" s="1"/>
  <c r="AE691" i="1"/>
  <c r="AC691" i="1"/>
  <c r="AB691" i="1"/>
  <c r="AA691" i="1"/>
  <c r="Y691" i="1"/>
  <c r="X691" i="1"/>
  <c r="T691" i="1"/>
  <c r="S691" i="1"/>
  <c r="R691" i="1"/>
  <c r="Q691" i="1"/>
  <c r="P691" i="1"/>
  <c r="O691" i="1"/>
  <c r="N691" i="1"/>
  <c r="M691" i="1"/>
  <c r="U691" i="1" s="1"/>
  <c r="L691" i="1"/>
  <c r="F691" i="1"/>
  <c r="E691" i="1"/>
  <c r="C691" i="1"/>
  <c r="B691" i="1"/>
  <c r="AP690" i="1"/>
  <c r="AO690" i="1"/>
  <c r="AR690" i="1" s="1"/>
  <c r="AL690" i="1"/>
  <c r="AK690" i="1"/>
  <c r="AN690" i="1" s="1"/>
  <c r="AE690" i="1"/>
  <c r="AC690" i="1"/>
  <c r="AB690" i="1"/>
  <c r="AA690" i="1"/>
  <c r="Y690" i="1"/>
  <c r="X690" i="1"/>
  <c r="T690" i="1"/>
  <c r="S690" i="1"/>
  <c r="R690" i="1"/>
  <c r="Q690" i="1"/>
  <c r="P690" i="1"/>
  <c r="O690" i="1"/>
  <c r="N690" i="1"/>
  <c r="M690" i="1"/>
  <c r="U690" i="1" s="1"/>
  <c r="L690" i="1"/>
  <c r="F690" i="1"/>
  <c r="E690" i="1"/>
  <c r="C690" i="1"/>
  <c r="B690" i="1"/>
  <c r="AQ689" i="1"/>
  <c r="AR689" i="1" s="1"/>
  <c r="AP689" i="1"/>
  <c r="AO689" i="1"/>
  <c r="AM689" i="1"/>
  <c r="AN689" i="1" s="1"/>
  <c r="AL689" i="1"/>
  <c r="AK689" i="1"/>
  <c r="AE689" i="1"/>
  <c r="AC689" i="1"/>
  <c r="AB689" i="1"/>
  <c r="AA689" i="1"/>
  <c r="Y689" i="1"/>
  <c r="X689" i="1"/>
  <c r="T689" i="1"/>
  <c r="S689" i="1"/>
  <c r="R689" i="1"/>
  <c r="Q689" i="1"/>
  <c r="P689" i="1"/>
  <c r="O689" i="1"/>
  <c r="N689" i="1"/>
  <c r="M689" i="1"/>
  <c r="L689" i="1"/>
  <c r="F689" i="1"/>
  <c r="E689" i="1"/>
  <c r="C689" i="1"/>
  <c r="B689" i="1"/>
  <c r="AP688" i="1"/>
  <c r="AO688" i="1"/>
  <c r="AL688" i="1"/>
  <c r="AK688" i="1"/>
  <c r="AE688" i="1"/>
  <c r="AC688" i="1"/>
  <c r="AB688" i="1"/>
  <c r="AA688" i="1"/>
  <c r="Y688" i="1"/>
  <c r="Z688" i="1" s="1"/>
  <c r="X688" i="1"/>
  <c r="T688" i="1"/>
  <c r="S688" i="1"/>
  <c r="R688" i="1"/>
  <c r="Q688" i="1"/>
  <c r="P688" i="1"/>
  <c r="O688" i="1"/>
  <c r="N688" i="1"/>
  <c r="M688" i="1"/>
  <c r="U688" i="1" s="1"/>
  <c r="K688" i="1"/>
  <c r="L688" i="1" s="1"/>
  <c r="F688" i="1"/>
  <c r="E688" i="1"/>
  <c r="C688" i="1"/>
  <c r="B688" i="1"/>
  <c r="AP687" i="1"/>
  <c r="AO687" i="1"/>
  <c r="AR687" i="1" s="1"/>
  <c r="AL687" i="1"/>
  <c r="AK687" i="1"/>
  <c r="AN687" i="1" s="1"/>
  <c r="AE687" i="1"/>
  <c r="AC687" i="1"/>
  <c r="AB687" i="1"/>
  <c r="AA687" i="1"/>
  <c r="Y687" i="1"/>
  <c r="Z687" i="1" s="1"/>
  <c r="X687" i="1"/>
  <c r="T687" i="1"/>
  <c r="S687" i="1"/>
  <c r="R687" i="1"/>
  <c r="Q687" i="1"/>
  <c r="P687" i="1"/>
  <c r="O687" i="1"/>
  <c r="N687" i="1"/>
  <c r="M687" i="1"/>
  <c r="U687" i="1" s="1"/>
  <c r="L687" i="1"/>
  <c r="F687" i="1"/>
  <c r="E687" i="1"/>
  <c r="C687" i="1"/>
  <c r="B687" i="1"/>
  <c r="AP686" i="1"/>
  <c r="AO686" i="1"/>
  <c r="AR686" i="1" s="1"/>
  <c r="AL686" i="1"/>
  <c r="AK686" i="1"/>
  <c r="AN686" i="1" s="1"/>
  <c r="AE686" i="1"/>
  <c r="AC686" i="1"/>
  <c r="AB686" i="1"/>
  <c r="AA686" i="1"/>
  <c r="Y686" i="1"/>
  <c r="X686" i="1"/>
  <c r="T686" i="1"/>
  <c r="S686" i="1"/>
  <c r="R686" i="1"/>
  <c r="Q686" i="1"/>
  <c r="P686" i="1"/>
  <c r="O686" i="1"/>
  <c r="N686" i="1"/>
  <c r="M686" i="1"/>
  <c r="U686" i="1" s="1"/>
  <c r="L686" i="1"/>
  <c r="F686" i="1"/>
  <c r="E686" i="1"/>
  <c r="C686" i="1"/>
  <c r="B686" i="1"/>
  <c r="AP685" i="1"/>
  <c r="AO685" i="1"/>
  <c r="AR685" i="1" s="1"/>
  <c r="AL685" i="1"/>
  <c r="AK685" i="1"/>
  <c r="AN685" i="1" s="1"/>
  <c r="AE685" i="1"/>
  <c r="AC685" i="1"/>
  <c r="AB685" i="1"/>
  <c r="AA685" i="1"/>
  <c r="Y685" i="1"/>
  <c r="X685" i="1"/>
  <c r="T685" i="1"/>
  <c r="S685" i="1"/>
  <c r="R685" i="1"/>
  <c r="Q685" i="1"/>
  <c r="P685" i="1"/>
  <c r="O685" i="1"/>
  <c r="N685" i="1"/>
  <c r="M685" i="1"/>
  <c r="U685" i="1" s="1"/>
  <c r="L685" i="1"/>
  <c r="F685" i="1"/>
  <c r="E685" i="1"/>
  <c r="C685" i="1"/>
  <c r="B685" i="1"/>
  <c r="AP684" i="1"/>
  <c r="AO684" i="1"/>
  <c r="AL684" i="1"/>
  <c r="AK684" i="1"/>
  <c r="AE684" i="1"/>
  <c r="AC684" i="1"/>
  <c r="AB684" i="1"/>
  <c r="AA684" i="1"/>
  <c r="Y684" i="1"/>
  <c r="X684" i="1"/>
  <c r="T684" i="1"/>
  <c r="S684" i="1"/>
  <c r="R684" i="1"/>
  <c r="Q684" i="1"/>
  <c r="P684" i="1"/>
  <c r="O684" i="1"/>
  <c r="N684" i="1"/>
  <c r="M684" i="1"/>
  <c r="U684" i="1" s="1"/>
  <c r="K684" i="1"/>
  <c r="L684" i="1" s="1"/>
  <c r="F684" i="1"/>
  <c r="E684" i="1"/>
  <c r="C684" i="1"/>
  <c r="B684" i="1"/>
  <c r="AP683" i="1"/>
  <c r="AO683" i="1"/>
  <c r="AR683" i="1" s="1"/>
  <c r="AL683" i="1"/>
  <c r="AK683" i="1"/>
  <c r="AN683" i="1" s="1"/>
  <c r="AE683" i="1"/>
  <c r="AC683" i="1"/>
  <c r="AB683" i="1"/>
  <c r="AA683" i="1"/>
  <c r="Y683" i="1"/>
  <c r="X683" i="1"/>
  <c r="T683" i="1"/>
  <c r="S683" i="1"/>
  <c r="R683" i="1"/>
  <c r="Q683" i="1"/>
  <c r="P683" i="1"/>
  <c r="O683" i="1"/>
  <c r="N683" i="1"/>
  <c r="M683" i="1"/>
  <c r="U683" i="1" s="1"/>
  <c r="L683" i="1"/>
  <c r="F683" i="1"/>
  <c r="E683" i="1"/>
  <c r="C683" i="1"/>
  <c r="B683" i="1"/>
  <c r="AP682" i="1"/>
  <c r="AO682" i="1"/>
  <c r="AR682" i="1" s="1"/>
  <c r="AL682" i="1"/>
  <c r="AK682" i="1"/>
  <c r="AN682" i="1" s="1"/>
  <c r="AE682" i="1"/>
  <c r="AC682" i="1"/>
  <c r="AB682" i="1"/>
  <c r="AA682" i="1"/>
  <c r="Y682" i="1"/>
  <c r="X682" i="1"/>
  <c r="T682" i="1"/>
  <c r="S682" i="1"/>
  <c r="R682" i="1"/>
  <c r="Q682" i="1"/>
  <c r="P682" i="1"/>
  <c r="O682" i="1"/>
  <c r="N682" i="1"/>
  <c r="M682" i="1"/>
  <c r="U682" i="1" s="1"/>
  <c r="L682" i="1"/>
  <c r="F682" i="1"/>
  <c r="E682" i="1"/>
  <c r="C682" i="1"/>
  <c r="B682" i="1"/>
  <c r="AQ681" i="1"/>
  <c r="AR681" i="1" s="1"/>
  <c r="AP681" i="1"/>
  <c r="AO681" i="1"/>
  <c r="AM681" i="1"/>
  <c r="AN681" i="1" s="1"/>
  <c r="AL681" i="1"/>
  <c r="AK681" i="1"/>
  <c r="AE681" i="1"/>
  <c r="AC681" i="1"/>
  <c r="AB681" i="1"/>
  <c r="AA681" i="1"/>
  <c r="Y681" i="1"/>
  <c r="X681" i="1"/>
  <c r="T681" i="1"/>
  <c r="S681" i="1"/>
  <c r="R681" i="1"/>
  <c r="Q681" i="1"/>
  <c r="P681" i="1"/>
  <c r="O681" i="1"/>
  <c r="N681" i="1"/>
  <c r="M681" i="1"/>
  <c r="U681" i="1" s="1"/>
  <c r="L681" i="1"/>
  <c r="F681" i="1"/>
  <c r="E681" i="1"/>
  <c r="C681" i="1"/>
  <c r="B681" i="1"/>
  <c r="AP680" i="1"/>
  <c r="AO680" i="1"/>
  <c r="AR680" i="1" s="1"/>
  <c r="AL680" i="1"/>
  <c r="AK680" i="1"/>
  <c r="AN680" i="1" s="1"/>
  <c r="AE680" i="1"/>
  <c r="AC680" i="1"/>
  <c r="AB680" i="1"/>
  <c r="AA680" i="1"/>
  <c r="Y680" i="1"/>
  <c r="Z680" i="1" s="1"/>
  <c r="X680" i="1"/>
  <c r="T680" i="1"/>
  <c r="S680" i="1"/>
  <c r="R680" i="1"/>
  <c r="Q680" i="1"/>
  <c r="P680" i="1"/>
  <c r="O680" i="1"/>
  <c r="N680" i="1"/>
  <c r="M680" i="1"/>
  <c r="U680" i="1" s="1"/>
  <c r="L680" i="1"/>
  <c r="F680" i="1"/>
  <c r="E680" i="1"/>
  <c r="C680" i="1"/>
  <c r="B680" i="1"/>
  <c r="AP679" i="1"/>
  <c r="AO679" i="1"/>
  <c r="AR679" i="1" s="1"/>
  <c r="AL679" i="1"/>
  <c r="AK679" i="1"/>
  <c r="AN679" i="1" s="1"/>
  <c r="AE679" i="1"/>
  <c r="AC679" i="1"/>
  <c r="AB679" i="1"/>
  <c r="AA679" i="1"/>
  <c r="Y679" i="1"/>
  <c r="X679" i="1"/>
  <c r="T679" i="1"/>
  <c r="S679" i="1"/>
  <c r="R679" i="1"/>
  <c r="Q679" i="1"/>
  <c r="P679" i="1"/>
  <c r="O679" i="1"/>
  <c r="N679" i="1"/>
  <c r="M679" i="1"/>
  <c r="L679" i="1"/>
  <c r="F679" i="1"/>
  <c r="G679" i="1" s="1"/>
  <c r="E679" i="1"/>
  <c r="C679" i="1"/>
  <c r="B679" i="1"/>
  <c r="A679" i="1"/>
  <c r="AQ678" i="1"/>
  <c r="AR678" i="1" s="1"/>
  <c r="AP678" i="1"/>
  <c r="AO678" i="1"/>
  <c r="AM678" i="1"/>
  <c r="AN678" i="1" s="1"/>
  <c r="AL678" i="1"/>
  <c r="AK678" i="1"/>
  <c r="AE678" i="1"/>
  <c r="AC678" i="1"/>
  <c r="AB678" i="1"/>
  <c r="AA678" i="1"/>
  <c r="Y678" i="1"/>
  <c r="X678" i="1"/>
  <c r="T678" i="1"/>
  <c r="S678" i="1"/>
  <c r="R678" i="1"/>
  <c r="Q678" i="1"/>
  <c r="P678" i="1"/>
  <c r="O678" i="1"/>
  <c r="N678" i="1"/>
  <c r="M678" i="1"/>
  <c r="U678" i="1" s="1"/>
  <c r="L678" i="1"/>
  <c r="F678" i="1"/>
  <c r="G678" i="1" s="1"/>
  <c r="E678" i="1"/>
  <c r="C678" i="1"/>
  <c r="B678" i="1"/>
  <c r="A678" i="1"/>
  <c r="AQ677" i="1"/>
  <c r="AR677" i="1" s="1"/>
  <c r="AP677" i="1"/>
  <c r="AO677" i="1"/>
  <c r="AM677" i="1"/>
  <c r="AN677" i="1" s="1"/>
  <c r="AL677" i="1"/>
  <c r="AK677" i="1"/>
  <c r="AE677" i="1"/>
  <c r="AC677" i="1"/>
  <c r="AB677" i="1"/>
  <c r="AA677" i="1"/>
  <c r="Y677" i="1"/>
  <c r="X677" i="1"/>
  <c r="T677" i="1"/>
  <c r="S677" i="1"/>
  <c r="R677" i="1"/>
  <c r="Q677" i="1"/>
  <c r="P677" i="1"/>
  <c r="O677" i="1"/>
  <c r="N677" i="1"/>
  <c r="M677" i="1"/>
  <c r="U677" i="1" s="1"/>
  <c r="L677" i="1"/>
  <c r="F677" i="1"/>
  <c r="G677" i="1" s="1"/>
  <c r="E677" i="1"/>
  <c r="C677" i="1"/>
  <c r="B677" i="1"/>
  <c r="A677" i="1"/>
  <c r="AP676" i="1"/>
  <c r="AO676" i="1"/>
  <c r="AR676" i="1" s="1"/>
  <c r="AL676" i="1"/>
  <c r="AK676" i="1"/>
  <c r="AN676" i="1" s="1"/>
  <c r="AE676" i="1"/>
  <c r="AC676" i="1"/>
  <c r="AB676" i="1"/>
  <c r="AA676" i="1"/>
  <c r="Y676" i="1"/>
  <c r="X676" i="1"/>
  <c r="V676" i="1"/>
  <c r="T676" i="1"/>
  <c r="S676" i="1"/>
  <c r="R676" i="1"/>
  <c r="Q676" i="1"/>
  <c r="P676" i="1"/>
  <c r="O676" i="1"/>
  <c r="N676" i="1"/>
  <c r="M676" i="1"/>
  <c r="U676" i="1" s="1"/>
  <c r="L676" i="1"/>
  <c r="F676" i="1"/>
  <c r="G676" i="1" s="1"/>
  <c r="E676" i="1"/>
  <c r="C676" i="1"/>
  <c r="B676" i="1"/>
  <c r="A676" i="1"/>
  <c r="AP675" i="1"/>
  <c r="AO675" i="1"/>
  <c r="AR675" i="1" s="1"/>
  <c r="AL675" i="1"/>
  <c r="AK675" i="1"/>
  <c r="AN675" i="1" s="1"/>
  <c r="AE675" i="1"/>
  <c r="AC675" i="1"/>
  <c r="AB675" i="1"/>
  <c r="AA675" i="1"/>
  <c r="Y675" i="1"/>
  <c r="X675" i="1"/>
  <c r="T675" i="1"/>
  <c r="S675" i="1"/>
  <c r="R675" i="1"/>
  <c r="Q675" i="1"/>
  <c r="P675" i="1"/>
  <c r="O675" i="1"/>
  <c r="N675" i="1"/>
  <c r="M675" i="1"/>
  <c r="U675" i="1" s="1"/>
  <c r="L675" i="1"/>
  <c r="F675" i="1"/>
  <c r="G675" i="1" s="1"/>
  <c r="E675" i="1"/>
  <c r="C675" i="1"/>
  <c r="B675" i="1"/>
  <c r="A675" i="1"/>
  <c r="AP674" i="1"/>
  <c r="AO674" i="1"/>
  <c r="AR674" i="1" s="1"/>
  <c r="AL674" i="1"/>
  <c r="AK674" i="1"/>
  <c r="AN674" i="1" s="1"/>
  <c r="AE674" i="1"/>
  <c r="AC674" i="1"/>
  <c r="AB674" i="1"/>
  <c r="AA674" i="1"/>
  <c r="Y674" i="1"/>
  <c r="X674" i="1"/>
  <c r="T674" i="1"/>
  <c r="S674" i="1"/>
  <c r="R674" i="1"/>
  <c r="Q674" i="1"/>
  <c r="P674" i="1"/>
  <c r="O674" i="1"/>
  <c r="N674" i="1"/>
  <c r="M674" i="1"/>
  <c r="U674" i="1" s="1"/>
  <c r="L674" i="1"/>
  <c r="F674" i="1"/>
  <c r="G674" i="1" s="1"/>
  <c r="E674" i="1"/>
  <c r="C674" i="1"/>
  <c r="B674" i="1"/>
  <c r="A674" i="1"/>
  <c r="AQ673" i="1"/>
  <c r="AR673" i="1" s="1"/>
  <c r="AP673" i="1"/>
  <c r="AO673" i="1"/>
  <c r="AN673" i="1"/>
  <c r="AL673" i="1"/>
  <c r="AK673" i="1"/>
  <c r="AE673" i="1"/>
  <c r="AC673" i="1"/>
  <c r="AB673" i="1"/>
  <c r="AA673" i="1"/>
  <c r="Y673" i="1"/>
  <c r="X673" i="1"/>
  <c r="T673" i="1"/>
  <c r="S673" i="1"/>
  <c r="R673" i="1"/>
  <c r="Q673" i="1"/>
  <c r="P673" i="1"/>
  <c r="O673" i="1"/>
  <c r="N673" i="1"/>
  <c r="M673" i="1"/>
  <c r="U673" i="1" s="1"/>
  <c r="L673" i="1"/>
  <c r="F673" i="1"/>
  <c r="G673" i="1" s="1"/>
  <c r="E673" i="1"/>
  <c r="C673" i="1"/>
  <c r="B673" i="1"/>
  <c r="A673" i="1"/>
  <c r="AQ672" i="1"/>
  <c r="AR672" i="1" s="1"/>
  <c r="AP672" i="1"/>
  <c r="AO672" i="1"/>
  <c r="AN672" i="1"/>
  <c r="AL672" i="1"/>
  <c r="AK672" i="1"/>
  <c r="AE672" i="1"/>
  <c r="AC672" i="1"/>
  <c r="AB672" i="1"/>
  <c r="AA672" i="1"/>
  <c r="Y672" i="1"/>
  <c r="X672" i="1"/>
  <c r="T672" i="1"/>
  <c r="S672" i="1"/>
  <c r="R672" i="1"/>
  <c r="Q672" i="1"/>
  <c r="P672" i="1"/>
  <c r="O672" i="1"/>
  <c r="N672" i="1"/>
  <c r="M672" i="1"/>
  <c r="U672" i="1" s="1"/>
  <c r="L672" i="1"/>
  <c r="F672" i="1"/>
  <c r="G672" i="1" s="1"/>
  <c r="E672" i="1"/>
  <c r="C672" i="1"/>
  <c r="B672" i="1"/>
  <c r="A672" i="1"/>
  <c r="AP671" i="1"/>
  <c r="AO671" i="1"/>
  <c r="AR671" i="1" s="1"/>
  <c r="AL671" i="1"/>
  <c r="AK671" i="1"/>
  <c r="AN671" i="1" s="1"/>
  <c r="AE671" i="1"/>
  <c r="AC671" i="1"/>
  <c r="AB671" i="1"/>
  <c r="AA671" i="1"/>
  <c r="Y671" i="1"/>
  <c r="X671" i="1"/>
  <c r="T671" i="1"/>
  <c r="S671" i="1"/>
  <c r="R671" i="1"/>
  <c r="Q671" i="1"/>
  <c r="P671" i="1"/>
  <c r="O671" i="1"/>
  <c r="N671" i="1"/>
  <c r="M671" i="1"/>
  <c r="U671" i="1" s="1"/>
  <c r="L671" i="1"/>
  <c r="F671" i="1"/>
  <c r="G671" i="1" s="1"/>
  <c r="E671" i="1"/>
  <c r="C671" i="1"/>
  <c r="B671" i="1"/>
  <c r="A671" i="1"/>
  <c r="AP670" i="1"/>
  <c r="AO670" i="1"/>
  <c r="AR670" i="1" s="1"/>
  <c r="AL670" i="1"/>
  <c r="AK670" i="1"/>
  <c r="AN670" i="1" s="1"/>
  <c r="AE670" i="1"/>
  <c r="AC670" i="1"/>
  <c r="AB670" i="1"/>
  <c r="AA670" i="1"/>
  <c r="Y670" i="1"/>
  <c r="X670" i="1"/>
  <c r="T670" i="1"/>
  <c r="S670" i="1"/>
  <c r="R670" i="1"/>
  <c r="Q670" i="1"/>
  <c r="P670" i="1"/>
  <c r="O670" i="1"/>
  <c r="N670" i="1"/>
  <c r="M670" i="1"/>
  <c r="U670" i="1" s="1"/>
  <c r="L670" i="1"/>
  <c r="F670" i="1"/>
  <c r="G670" i="1" s="1"/>
  <c r="E670" i="1"/>
  <c r="C670" i="1"/>
  <c r="B670" i="1"/>
  <c r="A670" i="1"/>
  <c r="AQ669" i="1"/>
  <c r="AR669" i="1" s="1"/>
  <c r="AP669" i="1"/>
  <c r="AO669" i="1"/>
  <c r="AN669" i="1"/>
  <c r="AL669" i="1"/>
  <c r="AK669" i="1"/>
  <c r="AE669" i="1"/>
  <c r="AC669" i="1"/>
  <c r="AB669" i="1"/>
  <c r="AA669" i="1"/>
  <c r="Y669" i="1"/>
  <c r="X669" i="1"/>
  <c r="T669" i="1"/>
  <c r="S669" i="1"/>
  <c r="R669" i="1"/>
  <c r="Q669" i="1"/>
  <c r="P669" i="1"/>
  <c r="O669" i="1"/>
  <c r="N669" i="1"/>
  <c r="M669" i="1"/>
  <c r="U669" i="1" s="1"/>
  <c r="L669" i="1"/>
  <c r="F669" i="1"/>
  <c r="G669" i="1" s="1"/>
  <c r="E669" i="1"/>
  <c r="C669" i="1"/>
  <c r="B669" i="1"/>
  <c r="A669" i="1"/>
  <c r="AQ668" i="1"/>
  <c r="AR668" i="1" s="1"/>
  <c r="AP668" i="1"/>
  <c r="AO668" i="1"/>
  <c r="AN668" i="1"/>
  <c r="AL668" i="1"/>
  <c r="AK668" i="1"/>
  <c r="AE668" i="1"/>
  <c r="AC668" i="1"/>
  <c r="AB668" i="1"/>
  <c r="AA668" i="1"/>
  <c r="Y668" i="1"/>
  <c r="X668" i="1"/>
  <c r="T668" i="1"/>
  <c r="S668" i="1"/>
  <c r="R668" i="1"/>
  <c r="Q668" i="1"/>
  <c r="P668" i="1"/>
  <c r="O668" i="1"/>
  <c r="N668" i="1"/>
  <c r="M668" i="1"/>
  <c r="U668" i="1" s="1"/>
  <c r="L668" i="1"/>
  <c r="F668" i="1"/>
  <c r="G668" i="1" s="1"/>
  <c r="E668" i="1"/>
  <c r="C668" i="1"/>
  <c r="B668" i="1"/>
  <c r="A668" i="1"/>
  <c r="AQ667" i="1"/>
  <c r="AR667" i="1" s="1"/>
  <c r="AP667" i="1"/>
  <c r="AO667" i="1"/>
  <c r="AN667" i="1"/>
  <c r="AL667" i="1"/>
  <c r="AK667" i="1"/>
  <c r="AE667" i="1"/>
  <c r="AC667" i="1"/>
  <c r="AB667" i="1"/>
  <c r="AA667" i="1"/>
  <c r="Y667" i="1"/>
  <c r="X667" i="1"/>
  <c r="T667" i="1"/>
  <c r="S667" i="1"/>
  <c r="R667" i="1"/>
  <c r="Q667" i="1"/>
  <c r="P667" i="1"/>
  <c r="O667" i="1"/>
  <c r="N667" i="1"/>
  <c r="M667" i="1"/>
  <c r="U667" i="1" s="1"/>
  <c r="L667" i="1"/>
  <c r="F667" i="1"/>
  <c r="G667" i="1" s="1"/>
  <c r="E667" i="1"/>
  <c r="C667" i="1"/>
  <c r="B667" i="1"/>
  <c r="A667" i="1"/>
  <c r="AQ666" i="1"/>
  <c r="AR666" i="1" s="1"/>
  <c r="AP666" i="1"/>
  <c r="AO666" i="1"/>
  <c r="AN666" i="1"/>
  <c r="AL666" i="1"/>
  <c r="AK666" i="1"/>
  <c r="AE666" i="1"/>
  <c r="AC666" i="1"/>
  <c r="AB666" i="1"/>
  <c r="AA666" i="1"/>
  <c r="Y666" i="1"/>
  <c r="X666" i="1"/>
  <c r="T666" i="1"/>
  <c r="S666" i="1"/>
  <c r="R666" i="1"/>
  <c r="Q666" i="1"/>
  <c r="P666" i="1"/>
  <c r="O666" i="1"/>
  <c r="N666" i="1"/>
  <c r="M666" i="1"/>
  <c r="U666" i="1" s="1"/>
  <c r="L666" i="1"/>
  <c r="F666" i="1"/>
  <c r="G666" i="1" s="1"/>
  <c r="E666" i="1"/>
  <c r="C666" i="1"/>
  <c r="B666" i="1"/>
  <c r="A666" i="1"/>
  <c r="AQ665" i="1"/>
  <c r="AR665" i="1" s="1"/>
  <c r="AP665" i="1"/>
  <c r="AO665" i="1"/>
  <c r="AN665" i="1"/>
  <c r="AL665" i="1"/>
  <c r="AK665" i="1"/>
  <c r="AE665" i="1"/>
  <c r="AC665" i="1"/>
  <c r="AB665" i="1"/>
  <c r="AA665" i="1"/>
  <c r="Y665" i="1"/>
  <c r="X665" i="1"/>
  <c r="T665" i="1"/>
  <c r="S665" i="1"/>
  <c r="R665" i="1"/>
  <c r="Q665" i="1"/>
  <c r="P665" i="1"/>
  <c r="O665" i="1"/>
  <c r="N665" i="1"/>
  <c r="M665" i="1"/>
  <c r="U665" i="1" s="1"/>
  <c r="L665" i="1"/>
  <c r="F665" i="1"/>
  <c r="G665" i="1" s="1"/>
  <c r="E665" i="1"/>
  <c r="C665" i="1"/>
  <c r="B665" i="1"/>
  <c r="A665" i="1"/>
  <c r="AQ664" i="1"/>
  <c r="AR664" i="1" s="1"/>
  <c r="AP664" i="1"/>
  <c r="AO664" i="1"/>
  <c r="AN664" i="1"/>
  <c r="AL664" i="1"/>
  <c r="AK664" i="1"/>
  <c r="AE664" i="1"/>
  <c r="AC664" i="1"/>
  <c r="AB664" i="1"/>
  <c r="AA664" i="1"/>
  <c r="Y664" i="1"/>
  <c r="X664" i="1"/>
  <c r="T664" i="1"/>
  <c r="S664" i="1"/>
  <c r="R664" i="1"/>
  <c r="Q664" i="1"/>
  <c r="P664" i="1"/>
  <c r="O664" i="1"/>
  <c r="N664" i="1"/>
  <c r="M664" i="1"/>
  <c r="U664" i="1" s="1"/>
  <c r="L664" i="1"/>
  <c r="F664" i="1"/>
  <c r="G664" i="1" s="1"/>
  <c r="E664" i="1"/>
  <c r="C664" i="1"/>
  <c r="B664" i="1"/>
  <c r="A664" i="1"/>
  <c r="AQ663" i="1"/>
  <c r="AR663" i="1" s="1"/>
  <c r="AP663" i="1"/>
  <c r="AO663" i="1"/>
  <c r="AM663" i="1"/>
  <c r="AN663" i="1" s="1"/>
  <c r="AL663" i="1"/>
  <c r="AK663" i="1"/>
  <c r="AE663" i="1"/>
  <c r="AC663" i="1"/>
  <c r="AB663" i="1"/>
  <c r="AA663" i="1"/>
  <c r="Y663" i="1"/>
  <c r="X663" i="1"/>
  <c r="T663" i="1"/>
  <c r="S663" i="1"/>
  <c r="R663" i="1"/>
  <c r="Q663" i="1"/>
  <c r="P663" i="1"/>
  <c r="O663" i="1"/>
  <c r="N663" i="1"/>
  <c r="M663" i="1"/>
  <c r="U663" i="1" s="1"/>
  <c r="L663" i="1"/>
  <c r="F663" i="1"/>
  <c r="G663" i="1" s="1"/>
  <c r="E663" i="1"/>
  <c r="C663" i="1"/>
  <c r="B663" i="1"/>
  <c r="A663" i="1"/>
  <c r="AQ662" i="1"/>
  <c r="AR662" i="1" s="1"/>
  <c r="AP662" i="1"/>
  <c r="AO662" i="1"/>
  <c r="AM662" i="1"/>
  <c r="AN662" i="1" s="1"/>
  <c r="AL662" i="1"/>
  <c r="AK662" i="1"/>
  <c r="AE662" i="1"/>
  <c r="AC662" i="1"/>
  <c r="AB662" i="1"/>
  <c r="AA662" i="1"/>
  <c r="Y662" i="1"/>
  <c r="X662" i="1"/>
  <c r="V662" i="1"/>
  <c r="T662" i="1"/>
  <c r="S662" i="1"/>
  <c r="R662" i="1"/>
  <c r="Q662" i="1"/>
  <c r="P662" i="1"/>
  <c r="O662" i="1"/>
  <c r="N662" i="1"/>
  <c r="M662" i="1"/>
  <c r="U662" i="1" s="1"/>
  <c r="L662" i="1"/>
  <c r="F662" i="1"/>
  <c r="G662" i="1" s="1"/>
  <c r="E662" i="1"/>
  <c r="C662" i="1"/>
  <c r="B662" i="1"/>
  <c r="A662" i="1"/>
  <c r="AP661" i="1"/>
  <c r="AO661" i="1"/>
  <c r="AR661" i="1" s="1"/>
  <c r="AL661" i="1"/>
  <c r="AK661" i="1"/>
  <c r="AN661" i="1" s="1"/>
  <c r="AE661" i="1"/>
  <c r="AC661" i="1"/>
  <c r="AB661" i="1"/>
  <c r="AA661" i="1"/>
  <c r="Y661" i="1"/>
  <c r="X661" i="1"/>
  <c r="V661" i="1"/>
  <c r="T661" i="1"/>
  <c r="S661" i="1"/>
  <c r="R661" i="1"/>
  <c r="Q661" i="1"/>
  <c r="P661" i="1"/>
  <c r="O661" i="1"/>
  <c r="N661" i="1"/>
  <c r="M661" i="1"/>
  <c r="U661" i="1" s="1"/>
  <c r="L661" i="1"/>
  <c r="F661" i="1"/>
  <c r="G661" i="1" s="1"/>
  <c r="E661" i="1"/>
  <c r="C661" i="1"/>
  <c r="B661" i="1"/>
  <c r="A661" i="1"/>
  <c r="AQ660" i="1"/>
  <c r="AR660" i="1" s="1"/>
  <c r="AP660" i="1"/>
  <c r="AO660" i="1"/>
  <c r="AM660" i="1"/>
  <c r="AN660" i="1" s="1"/>
  <c r="AL660" i="1"/>
  <c r="AK660" i="1"/>
  <c r="AE660" i="1"/>
  <c r="AC660" i="1"/>
  <c r="AB660" i="1"/>
  <c r="AA660" i="1"/>
  <c r="Y660" i="1"/>
  <c r="X660" i="1"/>
  <c r="V660" i="1"/>
  <c r="T660" i="1"/>
  <c r="S660" i="1"/>
  <c r="R660" i="1"/>
  <c r="Q660" i="1"/>
  <c r="P660" i="1"/>
  <c r="O660" i="1"/>
  <c r="N660" i="1"/>
  <c r="M660" i="1"/>
  <c r="U660" i="1" s="1"/>
  <c r="L660" i="1"/>
  <c r="F660" i="1"/>
  <c r="G660" i="1" s="1"/>
  <c r="E660" i="1"/>
  <c r="C660" i="1"/>
  <c r="B660" i="1"/>
  <c r="A660" i="1"/>
  <c r="AP659" i="1"/>
  <c r="AO659" i="1"/>
  <c r="AR659" i="1" s="1"/>
  <c r="AL659" i="1"/>
  <c r="AK659" i="1"/>
  <c r="AN659" i="1" s="1"/>
  <c r="AE659" i="1"/>
  <c r="AC659" i="1"/>
  <c r="AB659" i="1"/>
  <c r="AA659" i="1"/>
  <c r="Y659" i="1"/>
  <c r="X659" i="1"/>
  <c r="V659" i="1"/>
  <c r="T659" i="1"/>
  <c r="S659" i="1"/>
  <c r="R659" i="1"/>
  <c r="Q659" i="1"/>
  <c r="P659" i="1"/>
  <c r="O659" i="1"/>
  <c r="N659" i="1"/>
  <c r="M659" i="1"/>
  <c r="U659" i="1" s="1"/>
  <c r="L659" i="1"/>
  <c r="F659" i="1"/>
  <c r="G659" i="1" s="1"/>
  <c r="E659" i="1"/>
  <c r="C659" i="1"/>
  <c r="B659" i="1"/>
  <c r="A659" i="1"/>
  <c r="AP658" i="1"/>
  <c r="AO658" i="1"/>
  <c r="AR658" i="1" s="1"/>
  <c r="AL658" i="1"/>
  <c r="AK658" i="1"/>
  <c r="AN658" i="1" s="1"/>
  <c r="AE658" i="1"/>
  <c r="AC658" i="1"/>
  <c r="AB658" i="1"/>
  <c r="AA658" i="1"/>
  <c r="Y658" i="1"/>
  <c r="X658" i="1"/>
  <c r="T658" i="1"/>
  <c r="S658" i="1"/>
  <c r="R658" i="1"/>
  <c r="Q658" i="1"/>
  <c r="P658" i="1"/>
  <c r="O658" i="1"/>
  <c r="N658" i="1"/>
  <c r="M658" i="1"/>
  <c r="U658" i="1" s="1"/>
  <c r="L658" i="1"/>
  <c r="F658" i="1"/>
  <c r="G658" i="1" s="1"/>
  <c r="E658" i="1"/>
  <c r="C658" i="1"/>
  <c r="B658" i="1"/>
  <c r="A658" i="1"/>
  <c r="AQ657" i="1"/>
  <c r="AR657" i="1" s="1"/>
  <c r="AP657" i="1"/>
  <c r="AO657" i="1"/>
  <c r="AM657" i="1"/>
  <c r="AN657" i="1" s="1"/>
  <c r="AL657" i="1"/>
  <c r="AK657" i="1"/>
  <c r="AE657" i="1"/>
  <c r="AC657" i="1"/>
  <c r="AB657" i="1"/>
  <c r="AA657" i="1"/>
  <c r="Y657" i="1"/>
  <c r="X657" i="1"/>
  <c r="T657" i="1"/>
  <c r="S657" i="1"/>
  <c r="R657" i="1"/>
  <c r="Q657" i="1"/>
  <c r="P657" i="1"/>
  <c r="O657" i="1"/>
  <c r="N657" i="1"/>
  <c r="M657" i="1"/>
  <c r="U657" i="1" s="1"/>
  <c r="L657" i="1"/>
  <c r="F657" i="1"/>
  <c r="E657" i="1"/>
  <c r="C657" i="1"/>
  <c r="B657" i="1"/>
  <c r="AQ656" i="1"/>
  <c r="AR656" i="1" s="1"/>
  <c r="AP656" i="1"/>
  <c r="AO656" i="1"/>
  <c r="AM656" i="1"/>
  <c r="AN656" i="1" s="1"/>
  <c r="AL656" i="1"/>
  <c r="AK656" i="1"/>
  <c r="AE656" i="1"/>
  <c r="AC656" i="1"/>
  <c r="AB656" i="1"/>
  <c r="AA656" i="1"/>
  <c r="Y656" i="1"/>
  <c r="X656" i="1"/>
  <c r="V656" i="1"/>
  <c r="T656" i="1"/>
  <c r="S656" i="1"/>
  <c r="R656" i="1"/>
  <c r="Q656" i="1"/>
  <c r="P656" i="1"/>
  <c r="O656" i="1"/>
  <c r="N656" i="1"/>
  <c r="M656" i="1"/>
  <c r="U656" i="1" s="1"/>
  <c r="L656" i="1"/>
  <c r="F656" i="1"/>
  <c r="E656" i="1"/>
  <c r="C656" i="1"/>
  <c r="B656" i="1"/>
  <c r="AP655" i="1"/>
  <c r="AO655" i="1"/>
  <c r="AL655" i="1"/>
  <c r="AK655" i="1"/>
  <c r="AE655" i="1"/>
  <c r="AC655" i="1"/>
  <c r="AB655" i="1"/>
  <c r="AA655" i="1"/>
  <c r="Y655" i="1"/>
  <c r="X655" i="1"/>
  <c r="V655" i="1"/>
  <c r="T655" i="1"/>
  <c r="S655" i="1"/>
  <c r="R655" i="1"/>
  <c r="Q655" i="1"/>
  <c r="P655" i="1"/>
  <c r="O655" i="1"/>
  <c r="N655" i="1"/>
  <c r="M655" i="1"/>
  <c r="U655" i="1" s="1"/>
  <c r="K655" i="1"/>
  <c r="L655" i="1" s="1"/>
  <c r="F655" i="1"/>
  <c r="E655" i="1"/>
  <c r="C655" i="1"/>
  <c r="B655" i="1"/>
  <c r="AP654" i="1"/>
  <c r="AO654" i="1"/>
  <c r="AR654" i="1" s="1"/>
  <c r="AL654" i="1"/>
  <c r="AK654" i="1"/>
  <c r="AN654" i="1" s="1"/>
  <c r="AE654" i="1"/>
  <c r="AC654" i="1"/>
  <c r="AB654" i="1"/>
  <c r="AA654" i="1"/>
  <c r="Y654" i="1"/>
  <c r="X654" i="1"/>
  <c r="V654" i="1"/>
  <c r="T654" i="1"/>
  <c r="S654" i="1"/>
  <c r="R654" i="1"/>
  <c r="Q654" i="1"/>
  <c r="P654" i="1"/>
  <c r="O654" i="1"/>
  <c r="N654" i="1"/>
  <c r="M654" i="1"/>
  <c r="U654" i="1" s="1"/>
  <c r="L654" i="1"/>
  <c r="F654" i="1"/>
  <c r="E654" i="1"/>
  <c r="C654" i="1"/>
  <c r="B654" i="1"/>
  <c r="AP653" i="1"/>
  <c r="AO653" i="1"/>
  <c r="AR653" i="1" s="1"/>
  <c r="AL653" i="1"/>
  <c r="AK653" i="1"/>
  <c r="AN653" i="1" s="1"/>
  <c r="AE653" i="1"/>
  <c r="AC653" i="1"/>
  <c r="AB653" i="1"/>
  <c r="AA653" i="1"/>
  <c r="Y653" i="1"/>
  <c r="X653" i="1"/>
  <c r="V653" i="1"/>
  <c r="T653" i="1"/>
  <c r="S653" i="1"/>
  <c r="R653" i="1"/>
  <c r="Q653" i="1"/>
  <c r="P653" i="1"/>
  <c r="O653" i="1"/>
  <c r="N653" i="1"/>
  <c r="M653" i="1"/>
  <c r="U653" i="1" s="1"/>
  <c r="L653" i="1"/>
  <c r="F653" i="1"/>
  <c r="E653" i="1"/>
  <c r="C653" i="1"/>
  <c r="B653" i="1"/>
  <c r="AP652" i="1"/>
  <c r="AO652" i="1"/>
  <c r="AR652" i="1" s="1"/>
  <c r="AL652" i="1"/>
  <c r="AK652" i="1"/>
  <c r="AN652" i="1" s="1"/>
  <c r="AE652" i="1"/>
  <c r="AC652" i="1"/>
  <c r="AB652" i="1"/>
  <c r="AA652" i="1"/>
  <c r="Y652" i="1"/>
  <c r="X652" i="1"/>
  <c r="V652" i="1"/>
  <c r="T652" i="1"/>
  <c r="S652" i="1"/>
  <c r="R652" i="1"/>
  <c r="Q652" i="1"/>
  <c r="P652" i="1"/>
  <c r="O652" i="1"/>
  <c r="N652" i="1"/>
  <c r="M652" i="1"/>
  <c r="U652" i="1" s="1"/>
  <c r="L652" i="1"/>
  <c r="F652" i="1"/>
  <c r="E652" i="1"/>
  <c r="C652" i="1"/>
  <c r="B652" i="1"/>
  <c r="AP651" i="1"/>
  <c r="AO651" i="1"/>
  <c r="AR651" i="1" s="1"/>
  <c r="AL651" i="1"/>
  <c r="AK651" i="1"/>
  <c r="AN651" i="1" s="1"/>
  <c r="AE651" i="1"/>
  <c r="AC651" i="1"/>
  <c r="AB651" i="1"/>
  <c r="AA651" i="1"/>
  <c r="Y651" i="1"/>
  <c r="X651" i="1"/>
  <c r="V651" i="1"/>
  <c r="T651" i="1"/>
  <c r="S651" i="1"/>
  <c r="R651" i="1"/>
  <c r="Q651" i="1"/>
  <c r="P651" i="1"/>
  <c r="O651" i="1"/>
  <c r="N651" i="1"/>
  <c r="M651" i="1"/>
  <c r="U651" i="1" s="1"/>
  <c r="L651" i="1"/>
  <c r="F651" i="1"/>
  <c r="E651" i="1"/>
  <c r="C651" i="1"/>
  <c r="B651" i="1"/>
  <c r="AP650" i="1"/>
  <c r="AO650" i="1"/>
  <c r="AL650" i="1"/>
  <c r="AK650" i="1"/>
  <c r="AE650" i="1"/>
  <c r="AC650" i="1"/>
  <c r="AB650" i="1"/>
  <c r="AA650" i="1"/>
  <c r="Y650" i="1"/>
  <c r="X650" i="1"/>
  <c r="V650" i="1"/>
  <c r="T650" i="1"/>
  <c r="S650" i="1"/>
  <c r="R650" i="1"/>
  <c r="Q650" i="1"/>
  <c r="P650" i="1"/>
  <c r="O650" i="1"/>
  <c r="N650" i="1"/>
  <c r="M650" i="1"/>
  <c r="U650" i="1" s="1"/>
  <c r="K650" i="1"/>
  <c r="L650" i="1" s="1"/>
  <c r="F650" i="1"/>
  <c r="E650" i="1"/>
  <c r="C650" i="1"/>
  <c r="B650" i="1"/>
  <c r="AP649" i="1"/>
  <c r="AO649" i="1"/>
  <c r="AR649" i="1" s="1"/>
  <c r="AL649" i="1"/>
  <c r="AK649" i="1"/>
  <c r="AN649" i="1" s="1"/>
  <c r="AE649" i="1"/>
  <c r="AC649" i="1"/>
  <c r="AB649" i="1"/>
  <c r="AA649" i="1"/>
  <c r="Y649" i="1"/>
  <c r="X649" i="1"/>
  <c r="V649" i="1"/>
  <c r="T649" i="1"/>
  <c r="S649" i="1"/>
  <c r="R649" i="1"/>
  <c r="Q649" i="1"/>
  <c r="P649" i="1"/>
  <c r="O649" i="1"/>
  <c r="N649" i="1"/>
  <c r="M649" i="1"/>
  <c r="U649" i="1" s="1"/>
  <c r="L649" i="1"/>
  <c r="F649" i="1"/>
  <c r="E649" i="1"/>
  <c r="C649" i="1"/>
  <c r="B649" i="1"/>
  <c r="AP648" i="1"/>
  <c r="AO648" i="1"/>
  <c r="AR648" i="1" s="1"/>
  <c r="AL648" i="1"/>
  <c r="AK648" i="1"/>
  <c r="AN648" i="1" s="1"/>
  <c r="AE648" i="1"/>
  <c r="AC648" i="1"/>
  <c r="AB648" i="1"/>
  <c r="AA648" i="1"/>
  <c r="Y648" i="1"/>
  <c r="Z648" i="1" s="1"/>
  <c r="X648" i="1"/>
  <c r="V648" i="1"/>
  <c r="T648" i="1"/>
  <c r="S648" i="1"/>
  <c r="R648" i="1"/>
  <c r="Q648" i="1"/>
  <c r="P648" i="1"/>
  <c r="O648" i="1"/>
  <c r="N648" i="1"/>
  <c r="M648" i="1"/>
  <c r="U648" i="1" s="1"/>
  <c r="L648" i="1"/>
  <c r="F648" i="1"/>
  <c r="E648" i="1"/>
  <c r="C648" i="1"/>
  <c r="B648" i="1"/>
  <c r="AQ647" i="1"/>
  <c r="AR647" i="1" s="1"/>
  <c r="AP647" i="1"/>
  <c r="AO647" i="1"/>
  <c r="AM647" i="1"/>
  <c r="AN647" i="1" s="1"/>
  <c r="AL647" i="1"/>
  <c r="AK647" i="1"/>
  <c r="AE647" i="1"/>
  <c r="AC647" i="1"/>
  <c r="AB647" i="1"/>
  <c r="AA647" i="1"/>
  <c r="Y647" i="1"/>
  <c r="Z647" i="1" s="1"/>
  <c r="X647" i="1"/>
  <c r="V647" i="1"/>
  <c r="T647" i="1"/>
  <c r="S647" i="1"/>
  <c r="R647" i="1"/>
  <c r="Q647" i="1"/>
  <c r="P647" i="1"/>
  <c r="O647" i="1"/>
  <c r="N647" i="1"/>
  <c r="M647" i="1"/>
  <c r="L647" i="1"/>
  <c r="F647" i="1"/>
  <c r="E647" i="1"/>
  <c r="C647" i="1"/>
  <c r="B647" i="1"/>
  <c r="AQ646" i="1"/>
  <c r="AR646" i="1" s="1"/>
  <c r="AP646" i="1"/>
  <c r="AO646" i="1"/>
  <c r="AM646" i="1"/>
  <c r="AN646" i="1" s="1"/>
  <c r="AL646" i="1"/>
  <c r="AK646" i="1"/>
  <c r="AE646" i="1"/>
  <c r="AC646" i="1"/>
  <c r="AB646" i="1"/>
  <c r="AA646" i="1"/>
  <c r="Y646" i="1"/>
  <c r="X646" i="1"/>
  <c r="V646" i="1"/>
  <c r="T646" i="1"/>
  <c r="S646" i="1"/>
  <c r="R646" i="1"/>
  <c r="Q646" i="1"/>
  <c r="P646" i="1"/>
  <c r="O646" i="1"/>
  <c r="N646" i="1"/>
  <c r="M646" i="1"/>
  <c r="U646" i="1" s="1"/>
  <c r="L646" i="1"/>
  <c r="F646" i="1"/>
  <c r="E646" i="1"/>
  <c r="C646" i="1"/>
  <c r="B646" i="1"/>
  <c r="AQ645" i="1"/>
  <c r="AR645" i="1" s="1"/>
  <c r="AP645" i="1"/>
  <c r="AO645" i="1"/>
  <c r="AM645" i="1"/>
  <c r="AN645" i="1" s="1"/>
  <c r="AL645" i="1"/>
  <c r="AK645" i="1"/>
  <c r="AE645" i="1"/>
  <c r="AC645" i="1"/>
  <c r="AB645" i="1"/>
  <c r="AA645" i="1"/>
  <c r="Y645" i="1"/>
  <c r="X645" i="1"/>
  <c r="V645" i="1"/>
  <c r="T645" i="1"/>
  <c r="S645" i="1"/>
  <c r="R645" i="1"/>
  <c r="Q645" i="1"/>
  <c r="P645" i="1"/>
  <c r="O645" i="1"/>
  <c r="N645" i="1"/>
  <c r="M645" i="1"/>
  <c r="U645" i="1" s="1"/>
  <c r="L645" i="1"/>
  <c r="F645" i="1"/>
  <c r="E645" i="1"/>
  <c r="C645" i="1"/>
  <c r="B645" i="1"/>
  <c r="AQ644" i="1"/>
  <c r="AR644" i="1" s="1"/>
  <c r="AP644" i="1"/>
  <c r="AO644" i="1"/>
  <c r="AM644" i="1"/>
  <c r="AN644" i="1" s="1"/>
  <c r="AL644" i="1"/>
  <c r="AK644" i="1"/>
  <c r="AE644" i="1"/>
  <c r="AC644" i="1"/>
  <c r="AB644" i="1"/>
  <c r="AA644" i="1"/>
  <c r="Y644" i="1"/>
  <c r="X644" i="1"/>
  <c r="V644" i="1"/>
  <c r="T644" i="1"/>
  <c r="S644" i="1"/>
  <c r="R644" i="1"/>
  <c r="Q644" i="1"/>
  <c r="P644" i="1"/>
  <c r="O644" i="1"/>
  <c r="N644" i="1"/>
  <c r="M644" i="1"/>
  <c r="U644" i="1" s="1"/>
  <c r="L644" i="1"/>
  <c r="F644" i="1"/>
  <c r="E644" i="1"/>
  <c r="C644" i="1"/>
  <c r="B644" i="1"/>
  <c r="AQ643" i="1"/>
  <c r="AR643" i="1" s="1"/>
  <c r="AP643" i="1"/>
  <c r="AO643" i="1"/>
  <c r="AM643" i="1"/>
  <c r="AN643" i="1" s="1"/>
  <c r="AL643" i="1"/>
  <c r="AK643" i="1"/>
  <c r="AE643" i="1"/>
  <c r="AC643" i="1"/>
  <c r="AB643" i="1"/>
  <c r="AA643" i="1"/>
  <c r="Y643" i="1"/>
  <c r="X643" i="1"/>
  <c r="V643" i="1"/>
  <c r="T643" i="1"/>
  <c r="S643" i="1"/>
  <c r="R643" i="1"/>
  <c r="Q643" i="1"/>
  <c r="P643" i="1"/>
  <c r="O643" i="1"/>
  <c r="N643" i="1"/>
  <c r="M643" i="1"/>
  <c r="L643" i="1"/>
  <c r="F643" i="1"/>
  <c r="E643" i="1"/>
  <c r="C643" i="1"/>
  <c r="B643" i="1"/>
  <c r="AQ642" i="1"/>
  <c r="AR642" i="1" s="1"/>
  <c r="AP642" i="1"/>
  <c r="AO642" i="1"/>
  <c r="AM642" i="1"/>
  <c r="AN642" i="1" s="1"/>
  <c r="AL642" i="1"/>
  <c r="AK642" i="1"/>
  <c r="AE642" i="1"/>
  <c r="AC642" i="1"/>
  <c r="AB642" i="1"/>
  <c r="AA642" i="1"/>
  <c r="Y642" i="1"/>
  <c r="X642" i="1"/>
  <c r="V642" i="1"/>
  <c r="T642" i="1"/>
  <c r="S642" i="1"/>
  <c r="R642" i="1"/>
  <c r="Q642" i="1"/>
  <c r="P642" i="1"/>
  <c r="O642" i="1"/>
  <c r="N642" i="1"/>
  <c r="M642" i="1"/>
  <c r="U642" i="1" s="1"/>
  <c r="L642" i="1"/>
  <c r="F642" i="1"/>
  <c r="E642" i="1"/>
  <c r="C642" i="1"/>
  <c r="B642" i="1"/>
  <c r="AP641" i="1"/>
  <c r="AO641" i="1"/>
  <c r="AL641" i="1"/>
  <c r="AK641" i="1"/>
  <c r="AE641" i="1"/>
  <c r="AC641" i="1"/>
  <c r="AB641" i="1"/>
  <c r="AA641" i="1"/>
  <c r="Y641" i="1"/>
  <c r="X641" i="1"/>
  <c r="V641" i="1"/>
  <c r="T641" i="1"/>
  <c r="S641" i="1"/>
  <c r="R641" i="1"/>
  <c r="Q641" i="1"/>
  <c r="P641" i="1"/>
  <c r="O641" i="1"/>
  <c r="N641" i="1"/>
  <c r="M641" i="1"/>
  <c r="K641" i="1"/>
  <c r="L641" i="1" s="1"/>
  <c r="F641" i="1"/>
  <c r="E641" i="1"/>
  <c r="C641" i="1"/>
  <c r="B641" i="1"/>
  <c r="AP640" i="1"/>
  <c r="AO640" i="1"/>
  <c r="AR640" i="1" s="1"/>
  <c r="AL640" i="1"/>
  <c r="AK640" i="1"/>
  <c r="AN640" i="1" s="1"/>
  <c r="AE640" i="1"/>
  <c r="AC640" i="1"/>
  <c r="AB640" i="1"/>
  <c r="AA640" i="1"/>
  <c r="Y640" i="1"/>
  <c r="X640" i="1"/>
  <c r="V640" i="1"/>
  <c r="T640" i="1"/>
  <c r="S640" i="1"/>
  <c r="R640" i="1"/>
  <c r="Q640" i="1"/>
  <c r="P640" i="1"/>
  <c r="O640" i="1"/>
  <c r="N640" i="1"/>
  <c r="M640" i="1"/>
  <c r="L640" i="1"/>
  <c r="F640" i="1"/>
  <c r="E640" i="1"/>
  <c r="C640" i="1"/>
  <c r="B640" i="1"/>
  <c r="AP639" i="1"/>
  <c r="AO639" i="1"/>
  <c r="AR639" i="1" s="1"/>
  <c r="AL639" i="1"/>
  <c r="AK639" i="1"/>
  <c r="AN639" i="1" s="1"/>
  <c r="AE639" i="1"/>
  <c r="AC639" i="1"/>
  <c r="AB639" i="1"/>
  <c r="AA639" i="1"/>
  <c r="Y639" i="1"/>
  <c r="Z639" i="1" s="1"/>
  <c r="X639" i="1"/>
  <c r="V639" i="1"/>
  <c r="T639" i="1"/>
  <c r="S639" i="1"/>
  <c r="R639" i="1"/>
  <c r="Q639" i="1"/>
  <c r="P639" i="1"/>
  <c r="O639" i="1"/>
  <c r="N639" i="1"/>
  <c r="M639" i="1"/>
  <c r="U639" i="1" s="1"/>
  <c r="L639" i="1"/>
  <c r="F639" i="1"/>
  <c r="E639" i="1"/>
  <c r="C639" i="1"/>
  <c r="B639" i="1"/>
  <c r="AP638" i="1"/>
  <c r="AO638" i="1"/>
  <c r="AR638" i="1" s="1"/>
  <c r="AL638" i="1"/>
  <c r="AK638" i="1"/>
  <c r="AN638" i="1" s="1"/>
  <c r="AE638" i="1"/>
  <c r="AC638" i="1"/>
  <c r="AB638" i="1"/>
  <c r="AA638" i="1"/>
  <c r="Y638" i="1"/>
  <c r="Z638" i="1" s="1"/>
  <c r="X638" i="1"/>
  <c r="T638" i="1"/>
  <c r="S638" i="1"/>
  <c r="R638" i="1"/>
  <c r="Q638" i="1"/>
  <c r="P638" i="1"/>
  <c r="O638" i="1"/>
  <c r="N638" i="1"/>
  <c r="M638" i="1"/>
  <c r="U638" i="1" s="1"/>
  <c r="L638" i="1"/>
  <c r="F638" i="1"/>
  <c r="E638" i="1"/>
  <c r="C638" i="1"/>
  <c r="B638" i="1"/>
  <c r="AQ637" i="1"/>
  <c r="AR637" i="1" s="1"/>
  <c r="AP637" i="1"/>
  <c r="AO637" i="1"/>
  <c r="AM637" i="1"/>
  <c r="AN637" i="1" s="1"/>
  <c r="AL637" i="1"/>
  <c r="AK637" i="1"/>
  <c r="AE637" i="1"/>
  <c r="AC637" i="1"/>
  <c r="AB637" i="1"/>
  <c r="AA637" i="1"/>
  <c r="Y637" i="1"/>
  <c r="Z637" i="1" s="1"/>
  <c r="X637" i="1"/>
  <c r="T637" i="1"/>
  <c r="S637" i="1"/>
  <c r="R637" i="1"/>
  <c r="Q637" i="1"/>
  <c r="P637" i="1"/>
  <c r="O637" i="1"/>
  <c r="N637" i="1"/>
  <c r="M637" i="1"/>
  <c r="U637" i="1" s="1"/>
  <c r="L637" i="1"/>
  <c r="F637" i="1"/>
  <c r="E637" i="1"/>
  <c r="C637" i="1"/>
  <c r="B637" i="1"/>
  <c r="AQ636" i="1"/>
  <c r="AR636" i="1" s="1"/>
  <c r="AP636" i="1"/>
  <c r="AO636" i="1"/>
  <c r="AM636" i="1"/>
  <c r="AN636" i="1" s="1"/>
  <c r="AL636" i="1"/>
  <c r="AK636" i="1"/>
  <c r="AE636" i="1"/>
  <c r="AC636" i="1"/>
  <c r="AB636" i="1"/>
  <c r="AA636" i="1"/>
  <c r="Y636" i="1"/>
  <c r="X636" i="1"/>
  <c r="T636" i="1"/>
  <c r="S636" i="1"/>
  <c r="R636" i="1"/>
  <c r="Q636" i="1"/>
  <c r="P636" i="1"/>
  <c r="O636" i="1"/>
  <c r="N636" i="1"/>
  <c r="M636" i="1"/>
  <c r="U636" i="1" s="1"/>
  <c r="L636" i="1"/>
  <c r="F636" i="1"/>
  <c r="E636" i="1"/>
  <c r="C636" i="1"/>
  <c r="B636" i="1"/>
  <c r="AP635" i="1"/>
  <c r="AO635" i="1"/>
  <c r="AL635" i="1"/>
  <c r="AK635" i="1"/>
  <c r="AE635" i="1"/>
  <c r="AC635" i="1"/>
  <c r="AB635" i="1"/>
  <c r="AA635" i="1"/>
  <c r="Y635" i="1"/>
  <c r="X635" i="1"/>
  <c r="T635" i="1"/>
  <c r="S635" i="1"/>
  <c r="R635" i="1"/>
  <c r="Q635" i="1"/>
  <c r="P635" i="1"/>
  <c r="O635" i="1"/>
  <c r="N635" i="1"/>
  <c r="M635" i="1"/>
  <c r="U635" i="1" s="1"/>
  <c r="K635" i="1"/>
  <c r="L635" i="1" s="1"/>
  <c r="F635" i="1"/>
  <c r="E635" i="1"/>
  <c r="C635" i="1"/>
  <c r="B635" i="1"/>
  <c r="AP634" i="1"/>
  <c r="AO634" i="1"/>
  <c r="AR634" i="1" s="1"/>
  <c r="AL634" i="1"/>
  <c r="AK634" i="1"/>
  <c r="AN634" i="1" s="1"/>
  <c r="AE634" i="1"/>
  <c r="AC634" i="1"/>
  <c r="AB634" i="1"/>
  <c r="AA634" i="1"/>
  <c r="Y634" i="1"/>
  <c r="X634" i="1"/>
  <c r="V634" i="1"/>
  <c r="T634" i="1"/>
  <c r="S634" i="1"/>
  <c r="R634" i="1"/>
  <c r="Q634" i="1"/>
  <c r="P634" i="1"/>
  <c r="O634" i="1"/>
  <c r="N634" i="1"/>
  <c r="M634" i="1"/>
  <c r="U634" i="1" s="1"/>
  <c r="L634" i="1"/>
  <c r="F634" i="1"/>
  <c r="E634" i="1"/>
  <c r="C634" i="1"/>
  <c r="B634" i="1"/>
  <c r="AP633" i="1"/>
  <c r="AO633" i="1"/>
  <c r="AR633" i="1" s="1"/>
  <c r="AL633" i="1"/>
  <c r="AK633" i="1"/>
  <c r="AN633" i="1" s="1"/>
  <c r="AE633" i="1"/>
  <c r="AC633" i="1"/>
  <c r="AB633" i="1"/>
  <c r="AA633" i="1"/>
  <c r="Y633" i="1"/>
  <c r="X633" i="1"/>
  <c r="V633" i="1"/>
  <c r="T633" i="1"/>
  <c r="S633" i="1"/>
  <c r="R633" i="1"/>
  <c r="Q633" i="1"/>
  <c r="P633" i="1"/>
  <c r="O633" i="1"/>
  <c r="N633" i="1"/>
  <c r="M633" i="1"/>
  <c r="U633" i="1" s="1"/>
  <c r="L633" i="1"/>
  <c r="F633" i="1"/>
  <c r="E633" i="1"/>
  <c r="C633" i="1"/>
  <c r="B633" i="1"/>
  <c r="AP632" i="1"/>
  <c r="AO632" i="1"/>
  <c r="AR632" i="1" s="1"/>
  <c r="AL632" i="1"/>
  <c r="AK632" i="1"/>
  <c r="AN632" i="1" s="1"/>
  <c r="AE632" i="1"/>
  <c r="AC632" i="1"/>
  <c r="AB632" i="1"/>
  <c r="AA632" i="1"/>
  <c r="Y632" i="1"/>
  <c r="X632" i="1"/>
  <c r="V632" i="1"/>
  <c r="T632" i="1"/>
  <c r="S632" i="1"/>
  <c r="R632" i="1"/>
  <c r="Q632" i="1"/>
  <c r="P632" i="1"/>
  <c r="O632" i="1"/>
  <c r="N632" i="1"/>
  <c r="M632" i="1"/>
  <c r="U632" i="1" s="1"/>
  <c r="L632" i="1"/>
  <c r="F632" i="1"/>
  <c r="E632" i="1"/>
  <c r="C632" i="1"/>
  <c r="B632" i="1"/>
  <c r="AP631" i="1"/>
  <c r="AO631" i="1"/>
  <c r="AR631" i="1" s="1"/>
  <c r="AL631" i="1"/>
  <c r="AK631" i="1"/>
  <c r="AN631" i="1" s="1"/>
  <c r="AE631" i="1"/>
  <c r="AC631" i="1"/>
  <c r="AB631" i="1"/>
  <c r="AA631" i="1"/>
  <c r="Y631" i="1"/>
  <c r="Z631" i="1" s="1"/>
  <c r="X631" i="1"/>
  <c r="V631" i="1"/>
  <c r="T631" i="1"/>
  <c r="S631" i="1"/>
  <c r="R631" i="1"/>
  <c r="Q631" i="1"/>
  <c r="P631" i="1"/>
  <c r="O631" i="1"/>
  <c r="N631" i="1"/>
  <c r="M631" i="1"/>
  <c r="U631" i="1" s="1"/>
  <c r="L631" i="1"/>
  <c r="F631" i="1"/>
  <c r="E631" i="1"/>
  <c r="C631" i="1"/>
  <c r="B631" i="1"/>
  <c r="AP630" i="1"/>
  <c r="AO630" i="1"/>
  <c r="AR630" i="1" s="1"/>
  <c r="AL630" i="1"/>
  <c r="AK630" i="1"/>
  <c r="AN630" i="1" s="1"/>
  <c r="AE630" i="1"/>
  <c r="AC630" i="1"/>
  <c r="AB630" i="1"/>
  <c r="AA630" i="1"/>
  <c r="Y630" i="1"/>
  <c r="Z630" i="1" s="1"/>
  <c r="X630" i="1"/>
  <c r="V630" i="1"/>
  <c r="T630" i="1"/>
  <c r="S630" i="1"/>
  <c r="R630" i="1"/>
  <c r="Q630" i="1"/>
  <c r="P630" i="1"/>
  <c r="O630" i="1"/>
  <c r="N630" i="1"/>
  <c r="M630" i="1"/>
  <c r="U630" i="1" s="1"/>
  <c r="L630" i="1"/>
  <c r="F630" i="1"/>
  <c r="G630" i="1" s="1"/>
  <c r="E630" i="1"/>
  <c r="C630" i="1"/>
  <c r="B630" i="1"/>
  <c r="A630" i="1"/>
  <c r="AP629" i="1"/>
  <c r="AO629" i="1"/>
  <c r="AR629" i="1" s="1"/>
  <c r="AL629" i="1"/>
  <c r="AK629" i="1"/>
  <c r="AN629" i="1" s="1"/>
  <c r="AE629" i="1"/>
  <c r="AC629" i="1"/>
  <c r="AB629" i="1"/>
  <c r="AA629" i="1"/>
  <c r="Y629" i="1"/>
  <c r="X629" i="1"/>
  <c r="V629" i="1"/>
  <c r="T629" i="1"/>
  <c r="S629" i="1"/>
  <c r="R629" i="1"/>
  <c r="Q629" i="1"/>
  <c r="P629" i="1"/>
  <c r="O629" i="1"/>
  <c r="N629" i="1"/>
  <c r="M629" i="1"/>
  <c r="U629" i="1" s="1"/>
  <c r="L629" i="1"/>
  <c r="F629" i="1"/>
  <c r="G629" i="1" s="1"/>
  <c r="E629" i="1"/>
  <c r="C629" i="1"/>
  <c r="B629" i="1"/>
  <c r="A629" i="1"/>
  <c r="AQ628" i="1"/>
  <c r="AR628" i="1" s="1"/>
  <c r="AP628" i="1"/>
  <c r="AO628" i="1"/>
  <c r="AM628" i="1"/>
  <c r="AN628" i="1" s="1"/>
  <c r="AL628" i="1"/>
  <c r="AK628" i="1"/>
  <c r="AE628" i="1"/>
  <c r="AC628" i="1"/>
  <c r="AB628" i="1"/>
  <c r="AA628" i="1"/>
  <c r="Y628" i="1"/>
  <c r="X628" i="1"/>
  <c r="V628" i="1"/>
  <c r="T628" i="1"/>
  <c r="S628" i="1"/>
  <c r="R628" i="1"/>
  <c r="Q628" i="1"/>
  <c r="P628" i="1"/>
  <c r="O628" i="1"/>
  <c r="N628" i="1"/>
  <c r="M628" i="1"/>
  <c r="U628" i="1" s="1"/>
  <c r="L628" i="1"/>
  <c r="F628" i="1"/>
  <c r="G628" i="1" s="1"/>
  <c r="E628" i="1"/>
  <c r="C628" i="1"/>
  <c r="B628" i="1"/>
  <c r="A628" i="1"/>
  <c r="AP627" i="1"/>
  <c r="AO627" i="1"/>
  <c r="AR627" i="1" s="1"/>
  <c r="AL627" i="1"/>
  <c r="AK627" i="1"/>
  <c r="AN627" i="1" s="1"/>
  <c r="AE627" i="1"/>
  <c r="AC627" i="1"/>
  <c r="AB627" i="1"/>
  <c r="AA627" i="1"/>
  <c r="Y627" i="1"/>
  <c r="X627" i="1"/>
  <c r="V627" i="1"/>
  <c r="T627" i="1"/>
  <c r="S627" i="1"/>
  <c r="R627" i="1"/>
  <c r="Q627" i="1"/>
  <c r="P627" i="1"/>
  <c r="O627" i="1"/>
  <c r="N627" i="1"/>
  <c r="M627" i="1"/>
  <c r="U627" i="1" s="1"/>
  <c r="L627" i="1"/>
  <c r="F627" i="1"/>
  <c r="G627" i="1" s="1"/>
  <c r="E627" i="1"/>
  <c r="C627" i="1"/>
  <c r="B627" i="1"/>
  <c r="A627" i="1"/>
  <c r="AQ626" i="1"/>
  <c r="AR626" i="1" s="1"/>
  <c r="AP626" i="1"/>
  <c r="AO626" i="1"/>
  <c r="AM626" i="1"/>
  <c r="AN626" i="1" s="1"/>
  <c r="AL626" i="1"/>
  <c r="AK626" i="1"/>
  <c r="AE626" i="1"/>
  <c r="AC626" i="1"/>
  <c r="AB626" i="1"/>
  <c r="AA626" i="1"/>
  <c r="Y626" i="1"/>
  <c r="X626" i="1"/>
  <c r="V626" i="1"/>
  <c r="T626" i="1"/>
  <c r="S626" i="1"/>
  <c r="R626" i="1"/>
  <c r="Q626" i="1"/>
  <c r="P626" i="1"/>
  <c r="O626" i="1"/>
  <c r="N626" i="1"/>
  <c r="M626" i="1"/>
  <c r="U626" i="1" s="1"/>
  <c r="L626" i="1"/>
  <c r="F626" i="1"/>
  <c r="G626" i="1" s="1"/>
  <c r="E626" i="1"/>
  <c r="C626" i="1"/>
  <c r="B626" i="1"/>
  <c r="A626" i="1"/>
  <c r="AQ625" i="1"/>
  <c r="AR625" i="1" s="1"/>
  <c r="AP625" i="1"/>
  <c r="AO625" i="1"/>
  <c r="AM625" i="1"/>
  <c r="AN625" i="1" s="1"/>
  <c r="AL625" i="1"/>
  <c r="AK625" i="1"/>
  <c r="AE625" i="1"/>
  <c r="AC625" i="1"/>
  <c r="AB625" i="1"/>
  <c r="AA625" i="1"/>
  <c r="Y625" i="1"/>
  <c r="X625" i="1"/>
  <c r="V625" i="1"/>
  <c r="T625" i="1"/>
  <c r="S625" i="1"/>
  <c r="R625" i="1"/>
  <c r="Q625" i="1"/>
  <c r="P625" i="1"/>
  <c r="O625" i="1"/>
  <c r="N625" i="1"/>
  <c r="M625" i="1"/>
  <c r="U625" i="1" s="1"/>
  <c r="L625" i="1"/>
  <c r="F625" i="1"/>
  <c r="G625" i="1" s="1"/>
  <c r="E625" i="1"/>
  <c r="C625" i="1"/>
  <c r="B625" i="1"/>
  <c r="A625" i="1"/>
  <c r="AQ624" i="1"/>
  <c r="AR624" i="1" s="1"/>
  <c r="AP624" i="1"/>
  <c r="AO624" i="1"/>
  <c r="AM624" i="1"/>
  <c r="AN624" i="1" s="1"/>
  <c r="AL624" i="1"/>
  <c r="AK624" i="1"/>
  <c r="AE624" i="1"/>
  <c r="AC624" i="1"/>
  <c r="AB624" i="1"/>
  <c r="AA624" i="1"/>
  <c r="Y624" i="1"/>
  <c r="X624" i="1"/>
  <c r="V624" i="1"/>
  <c r="T624" i="1"/>
  <c r="S624" i="1"/>
  <c r="R624" i="1"/>
  <c r="Q624" i="1"/>
  <c r="P624" i="1"/>
  <c r="O624" i="1"/>
  <c r="N624" i="1"/>
  <c r="M624" i="1"/>
  <c r="U624" i="1" s="1"/>
  <c r="L624" i="1"/>
  <c r="F624" i="1"/>
  <c r="G624" i="1" s="1"/>
  <c r="E624" i="1"/>
  <c r="C624" i="1"/>
  <c r="B624" i="1"/>
  <c r="A624" i="1"/>
  <c r="AP623" i="1"/>
  <c r="AO623" i="1"/>
  <c r="AL623" i="1"/>
  <c r="AK623" i="1"/>
  <c r="AE623" i="1"/>
  <c r="AC623" i="1"/>
  <c r="AB623" i="1"/>
  <c r="AA623" i="1"/>
  <c r="Y623" i="1"/>
  <c r="X623" i="1"/>
  <c r="V623" i="1"/>
  <c r="T623" i="1"/>
  <c r="S623" i="1"/>
  <c r="R623" i="1"/>
  <c r="Q623" i="1"/>
  <c r="P623" i="1"/>
  <c r="O623" i="1"/>
  <c r="N623" i="1"/>
  <c r="M623" i="1"/>
  <c r="U623" i="1" s="1"/>
  <c r="K623" i="1"/>
  <c r="L623" i="1" s="1"/>
  <c r="F623" i="1"/>
  <c r="G623" i="1" s="1"/>
  <c r="E623" i="1"/>
  <c r="C623" i="1"/>
  <c r="B623" i="1"/>
  <c r="A623" i="1"/>
  <c r="AP622" i="1"/>
  <c r="AO622" i="1"/>
  <c r="AR622" i="1" s="1"/>
  <c r="AL622" i="1"/>
  <c r="AK622" i="1"/>
  <c r="AN622" i="1" s="1"/>
  <c r="AE622" i="1"/>
  <c r="AC622" i="1"/>
  <c r="AB622" i="1"/>
  <c r="AA622" i="1"/>
  <c r="Y622" i="1"/>
  <c r="X622" i="1"/>
  <c r="V622" i="1"/>
  <c r="T622" i="1"/>
  <c r="S622" i="1"/>
  <c r="R622" i="1"/>
  <c r="Q622" i="1"/>
  <c r="P622" i="1"/>
  <c r="O622" i="1"/>
  <c r="N622" i="1"/>
  <c r="M622" i="1"/>
  <c r="U622" i="1" s="1"/>
  <c r="L622" i="1"/>
  <c r="F622" i="1"/>
  <c r="G622" i="1" s="1"/>
  <c r="E622" i="1"/>
  <c r="C622" i="1"/>
  <c r="B622" i="1"/>
  <c r="A622" i="1"/>
  <c r="AP621" i="1"/>
  <c r="AO621" i="1"/>
  <c r="AR621" i="1" s="1"/>
  <c r="AL621" i="1"/>
  <c r="AK621" i="1"/>
  <c r="AN621" i="1" s="1"/>
  <c r="AE621" i="1"/>
  <c r="AC621" i="1"/>
  <c r="AB621" i="1"/>
  <c r="AA621" i="1"/>
  <c r="Y621" i="1"/>
  <c r="X621" i="1"/>
  <c r="V621" i="1"/>
  <c r="T621" i="1"/>
  <c r="S621" i="1"/>
  <c r="R621" i="1"/>
  <c r="Q621" i="1"/>
  <c r="P621" i="1"/>
  <c r="O621" i="1"/>
  <c r="N621" i="1"/>
  <c r="M621" i="1"/>
  <c r="U621" i="1" s="1"/>
  <c r="L621" i="1"/>
  <c r="F621" i="1"/>
  <c r="G621" i="1" s="1"/>
  <c r="E621" i="1"/>
  <c r="C621" i="1"/>
  <c r="B621" i="1"/>
  <c r="A621" i="1"/>
  <c r="AP620" i="1"/>
  <c r="AO620" i="1"/>
  <c r="AR620" i="1" s="1"/>
  <c r="AL620" i="1"/>
  <c r="AK620" i="1"/>
  <c r="AN620" i="1" s="1"/>
  <c r="AE620" i="1"/>
  <c r="AC620" i="1"/>
  <c r="AB620" i="1"/>
  <c r="AA620" i="1"/>
  <c r="Y620" i="1"/>
  <c r="X620" i="1"/>
  <c r="V620" i="1"/>
  <c r="T620" i="1"/>
  <c r="S620" i="1"/>
  <c r="R620" i="1"/>
  <c r="Q620" i="1"/>
  <c r="P620" i="1"/>
  <c r="O620" i="1"/>
  <c r="N620" i="1"/>
  <c r="M620" i="1"/>
  <c r="U620" i="1" s="1"/>
  <c r="L620" i="1"/>
  <c r="F620" i="1"/>
  <c r="G620" i="1" s="1"/>
  <c r="E620" i="1"/>
  <c r="C620" i="1"/>
  <c r="B620" i="1"/>
  <c r="A620" i="1"/>
  <c r="AQ619" i="1"/>
  <c r="AR619" i="1" s="1"/>
  <c r="AP619" i="1"/>
  <c r="AO619" i="1"/>
  <c r="AM619" i="1"/>
  <c r="AN619" i="1" s="1"/>
  <c r="AL619" i="1"/>
  <c r="AK619" i="1"/>
  <c r="AE619" i="1"/>
  <c r="AC619" i="1"/>
  <c r="AB619" i="1"/>
  <c r="AA619" i="1"/>
  <c r="Y619" i="1"/>
  <c r="X619" i="1"/>
  <c r="V619" i="1"/>
  <c r="T619" i="1"/>
  <c r="S619" i="1"/>
  <c r="R619" i="1"/>
  <c r="Q619" i="1"/>
  <c r="P619" i="1"/>
  <c r="O619" i="1"/>
  <c r="N619" i="1"/>
  <c r="M619" i="1"/>
  <c r="U619" i="1" s="1"/>
  <c r="L619" i="1"/>
  <c r="F619" i="1"/>
  <c r="G619" i="1" s="1"/>
  <c r="E619" i="1"/>
  <c r="C619" i="1"/>
  <c r="B619" i="1"/>
  <c r="A619" i="1"/>
  <c r="AP618" i="1"/>
  <c r="AO618" i="1"/>
  <c r="AL618" i="1"/>
  <c r="AK618" i="1"/>
  <c r="AE618" i="1"/>
  <c r="AC618" i="1"/>
  <c r="AB618" i="1"/>
  <c r="AA618" i="1"/>
  <c r="Y618" i="1"/>
  <c r="X618" i="1"/>
  <c r="V618" i="1"/>
  <c r="T618" i="1"/>
  <c r="S618" i="1"/>
  <c r="R618" i="1"/>
  <c r="Q618" i="1"/>
  <c r="P618" i="1"/>
  <c r="O618" i="1"/>
  <c r="N618" i="1"/>
  <c r="M618" i="1"/>
  <c r="U618" i="1" s="1"/>
  <c r="K618" i="1"/>
  <c r="L618" i="1" s="1"/>
  <c r="F618" i="1"/>
  <c r="G618" i="1" s="1"/>
  <c r="E618" i="1"/>
  <c r="C618" i="1"/>
  <c r="B618" i="1"/>
  <c r="A618" i="1"/>
  <c r="AP617" i="1"/>
  <c r="AO617" i="1"/>
  <c r="AR617" i="1" s="1"/>
  <c r="AL617" i="1"/>
  <c r="AK617" i="1"/>
  <c r="AN617" i="1" s="1"/>
  <c r="AE617" i="1"/>
  <c r="AC617" i="1"/>
  <c r="AB617" i="1"/>
  <c r="AA617" i="1"/>
  <c r="Y617" i="1"/>
  <c r="X617" i="1"/>
  <c r="V617" i="1"/>
  <c r="T617" i="1"/>
  <c r="S617" i="1"/>
  <c r="R617" i="1"/>
  <c r="Q617" i="1"/>
  <c r="P617" i="1"/>
  <c r="O617" i="1"/>
  <c r="N617" i="1"/>
  <c r="M617" i="1"/>
  <c r="U617" i="1" s="1"/>
  <c r="L617" i="1"/>
  <c r="F617" i="1"/>
  <c r="G617" i="1" s="1"/>
  <c r="E617" i="1"/>
  <c r="C617" i="1"/>
  <c r="B617" i="1"/>
  <c r="A617" i="1"/>
  <c r="AP616" i="1"/>
  <c r="AO616" i="1"/>
  <c r="AR616" i="1" s="1"/>
  <c r="AL616" i="1"/>
  <c r="AK616" i="1"/>
  <c r="AN616" i="1" s="1"/>
  <c r="AE616" i="1"/>
  <c r="AC616" i="1"/>
  <c r="AB616" i="1"/>
  <c r="AA616" i="1"/>
  <c r="Y616" i="1"/>
  <c r="X616" i="1"/>
  <c r="V616" i="1"/>
  <c r="T616" i="1"/>
  <c r="S616" i="1"/>
  <c r="R616" i="1"/>
  <c r="Q616" i="1"/>
  <c r="P616" i="1"/>
  <c r="O616" i="1"/>
  <c r="N616" i="1"/>
  <c r="M616" i="1"/>
  <c r="U616" i="1" s="1"/>
  <c r="L616" i="1"/>
  <c r="F616" i="1"/>
  <c r="G616" i="1" s="1"/>
  <c r="E616" i="1"/>
  <c r="C616" i="1"/>
  <c r="B616" i="1"/>
  <c r="A616" i="1"/>
  <c r="AP615" i="1"/>
  <c r="AO615" i="1"/>
  <c r="AR615" i="1" s="1"/>
  <c r="AL615" i="1"/>
  <c r="AK615" i="1"/>
  <c r="AN615" i="1" s="1"/>
  <c r="AE615" i="1"/>
  <c r="AC615" i="1"/>
  <c r="AB615" i="1"/>
  <c r="AA615" i="1"/>
  <c r="Y615" i="1"/>
  <c r="X615" i="1"/>
  <c r="V615" i="1"/>
  <c r="T615" i="1"/>
  <c r="S615" i="1"/>
  <c r="R615" i="1"/>
  <c r="Q615" i="1"/>
  <c r="P615" i="1"/>
  <c r="O615" i="1"/>
  <c r="N615" i="1"/>
  <c r="M615" i="1"/>
  <c r="U615" i="1" s="1"/>
  <c r="L615" i="1"/>
  <c r="F615" i="1"/>
  <c r="G615" i="1" s="1"/>
  <c r="E615" i="1"/>
  <c r="C615" i="1"/>
  <c r="B615" i="1"/>
  <c r="A615" i="1"/>
  <c r="AP614" i="1"/>
  <c r="AO614" i="1"/>
  <c r="AR614" i="1" s="1"/>
  <c r="AL614" i="1"/>
  <c r="AK614" i="1"/>
  <c r="AN614" i="1" s="1"/>
  <c r="AE614" i="1"/>
  <c r="AC614" i="1"/>
  <c r="AB614" i="1"/>
  <c r="AA614" i="1"/>
  <c r="Y614" i="1"/>
  <c r="X614" i="1"/>
  <c r="V614" i="1"/>
  <c r="T614" i="1"/>
  <c r="S614" i="1"/>
  <c r="R614" i="1"/>
  <c r="Q614" i="1"/>
  <c r="P614" i="1"/>
  <c r="O614" i="1"/>
  <c r="N614" i="1"/>
  <c r="M614" i="1"/>
  <c r="U614" i="1" s="1"/>
  <c r="L614" i="1"/>
  <c r="F614" i="1"/>
  <c r="G614" i="1" s="1"/>
  <c r="E614" i="1"/>
  <c r="C614" i="1"/>
  <c r="B614" i="1"/>
  <c r="A614" i="1"/>
  <c r="AP613" i="1"/>
  <c r="AO613" i="1"/>
  <c r="AR613" i="1" s="1"/>
  <c r="AL613" i="1"/>
  <c r="AK613" i="1"/>
  <c r="AN613" i="1" s="1"/>
  <c r="AE613" i="1"/>
  <c r="AC613" i="1"/>
  <c r="AB613" i="1"/>
  <c r="AA613" i="1"/>
  <c r="Y613" i="1"/>
  <c r="X613" i="1"/>
  <c r="V613" i="1"/>
  <c r="T613" i="1"/>
  <c r="S613" i="1"/>
  <c r="R613" i="1"/>
  <c r="Q613" i="1"/>
  <c r="P613" i="1"/>
  <c r="O613" i="1"/>
  <c r="N613" i="1"/>
  <c r="M613" i="1"/>
  <c r="U613" i="1" s="1"/>
  <c r="F613" i="1"/>
  <c r="G613" i="1" s="1"/>
  <c r="E613" i="1"/>
  <c r="C613" i="1"/>
  <c r="B613" i="1"/>
  <c r="A613" i="1"/>
  <c r="AP612" i="1"/>
  <c r="AO612" i="1"/>
  <c r="AL612" i="1"/>
  <c r="AK612" i="1"/>
  <c r="AE612" i="1"/>
  <c r="AC612" i="1"/>
  <c r="AB612" i="1"/>
  <c r="AA612" i="1"/>
  <c r="Y612" i="1"/>
  <c r="X612" i="1"/>
  <c r="V612" i="1"/>
  <c r="T612" i="1"/>
  <c r="S612" i="1"/>
  <c r="R612" i="1"/>
  <c r="Q612" i="1"/>
  <c r="P612" i="1"/>
  <c r="O612" i="1"/>
  <c r="N612" i="1"/>
  <c r="M612" i="1"/>
  <c r="U612" i="1" s="1"/>
  <c r="K612" i="1"/>
  <c r="L612" i="1" s="1"/>
  <c r="F612" i="1"/>
  <c r="G612" i="1" s="1"/>
  <c r="E612" i="1"/>
  <c r="C612" i="1"/>
  <c r="B612" i="1"/>
  <c r="A612" i="1"/>
  <c r="AP611" i="1"/>
  <c r="AO611" i="1"/>
  <c r="AR611" i="1" s="1"/>
  <c r="AL611" i="1"/>
  <c r="AK611" i="1"/>
  <c r="AN611" i="1" s="1"/>
  <c r="AE611" i="1"/>
  <c r="AC611" i="1"/>
  <c r="AB611" i="1"/>
  <c r="AA611" i="1"/>
  <c r="Y611" i="1"/>
  <c r="X611" i="1"/>
  <c r="V611" i="1"/>
  <c r="T611" i="1"/>
  <c r="S611" i="1"/>
  <c r="R611" i="1"/>
  <c r="Q611" i="1"/>
  <c r="P611" i="1"/>
  <c r="O611" i="1"/>
  <c r="N611" i="1"/>
  <c r="M611" i="1"/>
  <c r="U611" i="1" s="1"/>
  <c r="L611" i="1"/>
  <c r="F611" i="1"/>
  <c r="G611" i="1" s="1"/>
  <c r="E611" i="1"/>
  <c r="C611" i="1"/>
  <c r="B611" i="1"/>
  <c r="A611" i="1"/>
  <c r="AP610" i="1"/>
  <c r="AO610" i="1"/>
  <c r="AR610" i="1" s="1"/>
  <c r="AL610" i="1"/>
  <c r="AK610" i="1"/>
  <c r="AN610" i="1" s="1"/>
  <c r="AE610" i="1"/>
  <c r="AC610" i="1"/>
  <c r="AB610" i="1"/>
  <c r="AA610" i="1"/>
  <c r="Y610" i="1"/>
  <c r="X610" i="1"/>
  <c r="V610" i="1"/>
  <c r="T610" i="1"/>
  <c r="S610" i="1"/>
  <c r="R610" i="1"/>
  <c r="Q610" i="1"/>
  <c r="P610" i="1"/>
  <c r="O610" i="1"/>
  <c r="N610" i="1"/>
  <c r="M610" i="1"/>
  <c r="U610" i="1" s="1"/>
  <c r="L610" i="1"/>
  <c r="F610" i="1"/>
  <c r="G610" i="1" s="1"/>
  <c r="E610" i="1"/>
  <c r="C610" i="1"/>
  <c r="B610" i="1"/>
  <c r="A610" i="1"/>
  <c r="AP609" i="1"/>
  <c r="AO609" i="1"/>
  <c r="AL609" i="1"/>
  <c r="AK609" i="1"/>
  <c r="AE609" i="1"/>
  <c r="AC609" i="1"/>
  <c r="AB609" i="1"/>
  <c r="AA609" i="1"/>
  <c r="Y609" i="1"/>
  <c r="X609" i="1"/>
  <c r="T609" i="1"/>
  <c r="S609" i="1"/>
  <c r="R609" i="1"/>
  <c r="Q609" i="1"/>
  <c r="P609" i="1"/>
  <c r="O609" i="1"/>
  <c r="N609" i="1"/>
  <c r="M609" i="1"/>
  <c r="U609" i="1" s="1"/>
  <c r="K609" i="1"/>
  <c r="L609" i="1" s="1"/>
  <c r="F609" i="1"/>
  <c r="G609" i="1" s="1"/>
  <c r="E609" i="1"/>
  <c r="C609" i="1"/>
  <c r="B609" i="1"/>
  <c r="A609" i="1"/>
  <c r="AQ608" i="1"/>
  <c r="AR608" i="1" s="1"/>
  <c r="AP608" i="1"/>
  <c r="AO608" i="1"/>
  <c r="AM608" i="1"/>
  <c r="AN608" i="1" s="1"/>
  <c r="AL608" i="1"/>
  <c r="AK608" i="1"/>
  <c r="AE608" i="1"/>
  <c r="AC608" i="1"/>
  <c r="AB608" i="1"/>
  <c r="AA608" i="1"/>
  <c r="Y608" i="1"/>
  <c r="X608" i="1"/>
  <c r="T608" i="1"/>
  <c r="S608" i="1"/>
  <c r="R608" i="1"/>
  <c r="Q608" i="1"/>
  <c r="P608" i="1"/>
  <c r="O608" i="1"/>
  <c r="N608" i="1"/>
  <c r="M608" i="1"/>
  <c r="U608" i="1" s="1"/>
  <c r="L608" i="1"/>
  <c r="F608" i="1"/>
  <c r="G608" i="1" s="1"/>
  <c r="E608" i="1"/>
  <c r="C608" i="1"/>
  <c r="B608" i="1"/>
  <c r="A608" i="1"/>
  <c r="AP607" i="1"/>
  <c r="AO607" i="1"/>
  <c r="AR607" i="1" s="1"/>
  <c r="AL607" i="1"/>
  <c r="AK607" i="1"/>
  <c r="AN607" i="1" s="1"/>
  <c r="AE607" i="1"/>
  <c r="AC607" i="1"/>
  <c r="AB607" i="1"/>
  <c r="AA607" i="1"/>
  <c r="Y607" i="1"/>
  <c r="X607" i="1"/>
  <c r="T607" i="1"/>
  <c r="S607" i="1"/>
  <c r="R607" i="1"/>
  <c r="Q607" i="1"/>
  <c r="P607" i="1"/>
  <c r="O607" i="1"/>
  <c r="N607" i="1"/>
  <c r="M607" i="1"/>
  <c r="U607" i="1" s="1"/>
  <c r="L607" i="1"/>
  <c r="F607" i="1"/>
  <c r="G607" i="1" s="1"/>
  <c r="E607" i="1"/>
  <c r="C607" i="1"/>
  <c r="B607" i="1"/>
  <c r="A607" i="1"/>
  <c r="AQ606" i="1"/>
  <c r="AR606" i="1" s="1"/>
  <c r="AP606" i="1"/>
  <c r="AO606" i="1"/>
  <c r="AM606" i="1"/>
  <c r="AN606" i="1" s="1"/>
  <c r="AL606" i="1"/>
  <c r="AK606" i="1"/>
  <c r="AE606" i="1"/>
  <c r="AC606" i="1"/>
  <c r="AB606" i="1"/>
  <c r="AA606" i="1"/>
  <c r="Y606" i="1"/>
  <c r="X606" i="1"/>
  <c r="T606" i="1"/>
  <c r="S606" i="1"/>
  <c r="R606" i="1"/>
  <c r="Q606" i="1"/>
  <c r="P606" i="1"/>
  <c r="O606" i="1"/>
  <c r="N606" i="1"/>
  <c r="M606" i="1"/>
  <c r="U606" i="1" s="1"/>
  <c r="L606" i="1"/>
  <c r="F606" i="1"/>
  <c r="G606" i="1" s="1"/>
  <c r="E606" i="1"/>
  <c r="C606" i="1"/>
  <c r="B606" i="1"/>
  <c r="A606" i="1"/>
  <c r="AQ605" i="1"/>
  <c r="AR605" i="1" s="1"/>
  <c r="AP605" i="1"/>
  <c r="AO605" i="1"/>
  <c r="AM605" i="1"/>
  <c r="AN605" i="1" s="1"/>
  <c r="AL605" i="1"/>
  <c r="AK605" i="1"/>
  <c r="AE605" i="1"/>
  <c r="AC605" i="1"/>
  <c r="AB605" i="1"/>
  <c r="AA605" i="1"/>
  <c r="Y605" i="1"/>
  <c r="X605" i="1"/>
  <c r="T605" i="1"/>
  <c r="S605" i="1"/>
  <c r="R605" i="1"/>
  <c r="Q605" i="1"/>
  <c r="P605" i="1"/>
  <c r="O605" i="1"/>
  <c r="N605" i="1"/>
  <c r="M605" i="1"/>
  <c r="U605" i="1" s="1"/>
  <c r="L605" i="1"/>
  <c r="F605" i="1"/>
  <c r="G605" i="1" s="1"/>
  <c r="E605" i="1"/>
  <c r="C605" i="1"/>
  <c r="B605" i="1"/>
  <c r="A605" i="1"/>
  <c r="AQ604" i="1"/>
  <c r="AR604" i="1" s="1"/>
  <c r="AP604" i="1"/>
  <c r="AO604" i="1"/>
  <c r="AM604" i="1"/>
  <c r="AN604" i="1" s="1"/>
  <c r="AL604" i="1"/>
  <c r="AK604" i="1"/>
  <c r="AE604" i="1"/>
  <c r="AC604" i="1"/>
  <c r="AB604" i="1"/>
  <c r="AA604" i="1"/>
  <c r="Y604" i="1"/>
  <c r="X604" i="1"/>
  <c r="T604" i="1"/>
  <c r="S604" i="1"/>
  <c r="R604" i="1"/>
  <c r="Q604" i="1"/>
  <c r="P604" i="1"/>
  <c r="O604" i="1"/>
  <c r="N604" i="1"/>
  <c r="M604" i="1"/>
  <c r="U604" i="1" s="1"/>
  <c r="L604" i="1"/>
  <c r="F604" i="1"/>
  <c r="E604" i="1"/>
  <c r="C604" i="1"/>
  <c r="B604" i="1"/>
  <c r="AP603" i="1"/>
  <c r="AO603" i="1"/>
  <c r="AR603" i="1" s="1"/>
  <c r="AL603" i="1"/>
  <c r="AK603" i="1"/>
  <c r="AN603" i="1" s="1"/>
  <c r="AE603" i="1"/>
  <c r="AC603" i="1"/>
  <c r="AB603" i="1"/>
  <c r="AA603" i="1"/>
  <c r="Y603" i="1"/>
  <c r="X603" i="1"/>
  <c r="T603" i="1"/>
  <c r="S603" i="1"/>
  <c r="R603" i="1"/>
  <c r="Q603" i="1"/>
  <c r="P603" i="1"/>
  <c r="O603" i="1"/>
  <c r="N603" i="1"/>
  <c r="M603" i="1"/>
  <c r="U603" i="1" s="1"/>
  <c r="L603" i="1"/>
  <c r="F603" i="1"/>
  <c r="E603" i="1"/>
  <c r="C603" i="1"/>
  <c r="B603" i="1"/>
  <c r="AP602" i="1"/>
  <c r="AO602" i="1"/>
  <c r="AR602" i="1" s="1"/>
  <c r="AL602" i="1"/>
  <c r="AK602" i="1"/>
  <c r="AN602" i="1" s="1"/>
  <c r="AE602" i="1"/>
  <c r="AC602" i="1"/>
  <c r="AB602" i="1"/>
  <c r="AA602" i="1"/>
  <c r="Y602" i="1"/>
  <c r="X602" i="1"/>
  <c r="T602" i="1"/>
  <c r="S602" i="1"/>
  <c r="R602" i="1"/>
  <c r="Q602" i="1"/>
  <c r="P602" i="1"/>
  <c r="O602" i="1"/>
  <c r="N602" i="1"/>
  <c r="M602" i="1"/>
  <c r="U602" i="1" s="1"/>
  <c r="L602" i="1"/>
  <c r="F602" i="1"/>
  <c r="E602" i="1"/>
  <c r="C602" i="1"/>
  <c r="B602" i="1"/>
  <c r="AQ601" i="1"/>
  <c r="AR601" i="1" s="1"/>
  <c r="AP601" i="1"/>
  <c r="AO601" i="1"/>
  <c r="AM601" i="1"/>
  <c r="AN601" i="1" s="1"/>
  <c r="AL601" i="1"/>
  <c r="AK601" i="1"/>
  <c r="AE601" i="1"/>
  <c r="AC601" i="1"/>
  <c r="AB601" i="1"/>
  <c r="AA601" i="1"/>
  <c r="Y601" i="1"/>
  <c r="X601" i="1"/>
  <c r="T601" i="1"/>
  <c r="S601" i="1"/>
  <c r="R601" i="1"/>
  <c r="Q601" i="1"/>
  <c r="P601" i="1"/>
  <c r="O601" i="1"/>
  <c r="N601" i="1"/>
  <c r="M601" i="1"/>
  <c r="U601" i="1" s="1"/>
  <c r="L601" i="1"/>
  <c r="F601" i="1"/>
  <c r="E601" i="1"/>
  <c r="C601" i="1"/>
  <c r="B601" i="1"/>
  <c r="AQ600" i="1"/>
  <c r="AR600" i="1" s="1"/>
  <c r="AP600" i="1"/>
  <c r="AO600" i="1"/>
  <c r="AM600" i="1"/>
  <c r="AN600" i="1" s="1"/>
  <c r="AL600" i="1"/>
  <c r="AK600" i="1"/>
  <c r="AE600" i="1"/>
  <c r="AC600" i="1"/>
  <c r="AB600" i="1"/>
  <c r="AA600" i="1"/>
  <c r="Y600" i="1"/>
  <c r="X600" i="1"/>
  <c r="T600" i="1"/>
  <c r="S600" i="1"/>
  <c r="R600" i="1"/>
  <c r="Q600" i="1"/>
  <c r="P600" i="1"/>
  <c r="O600" i="1"/>
  <c r="N600" i="1"/>
  <c r="M600" i="1"/>
  <c r="U600" i="1" s="1"/>
  <c r="L600" i="1"/>
  <c r="F600" i="1"/>
  <c r="E600" i="1"/>
  <c r="C600" i="1"/>
  <c r="B600" i="1"/>
  <c r="AQ599" i="1"/>
  <c r="AR599" i="1" s="1"/>
  <c r="AP599" i="1"/>
  <c r="AO599" i="1"/>
  <c r="AM599" i="1"/>
  <c r="AN599" i="1" s="1"/>
  <c r="AL599" i="1"/>
  <c r="AK599" i="1"/>
  <c r="AE599" i="1"/>
  <c r="AC599" i="1"/>
  <c r="AB599" i="1"/>
  <c r="AA599" i="1"/>
  <c r="Y599" i="1"/>
  <c r="X599" i="1"/>
  <c r="T599" i="1"/>
  <c r="S599" i="1"/>
  <c r="R599" i="1"/>
  <c r="Q599" i="1"/>
  <c r="P599" i="1"/>
  <c r="O599" i="1"/>
  <c r="N599" i="1"/>
  <c r="M599" i="1"/>
  <c r="U599" i="1" s="1"/>
  <c r="L599" i="1"/>
  <c r="F599" i="1"/>
  <c r="E599" i="1"/>
  <c r="C599" i="1"/>
  <c r="B599" i="1"/>
  <c r="AQ598" i="1"/>
  <c r="AR598" i="1" s="1"/>
  <c r="AP598" i="1"/>
  <c r="AO598" i="1"/>
  <c r="AM598" i="1"/>
  <c r="AN598" i="1" s="1"/>
  <c r="AL598" i="1"/>
  <c r="AK598" i="1"/>
  <c r="AE598" i="1"/>
  <c r="AC598" i="1"/>
  <c r="AB598" i="1"/>
  <c r="AA598" i="1"/>
  <c r="Y598" i="1"/>
  <c r="X598" i="1"/>
  <c r="T598" i="1"/>
  <c r="S598" i="1"/>
  <c r="R598" i="1"/>
  <c r="Q598" i="1"/>
  <c r="P598" i="1"/>
  <c r="O598" i="1"/>
  <c r="N598" i="1"/>
  <c r="M598" i="1"/>
  <c r="U598" i="1" s="1"/>
  <c r="L598" i="1"/>
  <c r="F598" i="1"/>
  <c r="E598" i="1"/>
  <c r="C598" i="1"/>
  <c r="B598" i="1"/>
  <c r="AQ597" i="1"/>
  <c r="AR597" i="1" s="1"/>
  <c r="AP597" i="1"/>
  <c r="AO597" i="1"/>
  <c r="AM597" i="1"/>
  <c r="AN597" i="1" s="1"/>
  <c r="AL597" i="1"/>
  <c r="AK597" i="1"/>
  <c r="AE597" i="1"/>
  <c r="AC597" i="1"/>
  <c r="AB597" i="1"/>
  <c r="AA597" i="1"/>
  <c r="Y597" i="1"/>
  <c r="X597" i="1"/>
  <c r="T597" i="1"/>
  <c r="S597" i="1"/>
  <c r="R597" i="1"/>
  <c r="Q597" i="1"/>
  <c r="P597" i="1"/>
  <c r="O597" i="1"/>
  <c r="N597" i="1"/>
  <c r="M597" i="1"/>
  <c r="U597" i="1" s="1"/>
  <c r="L597" i="1"/>
  <c r="F597" i="1"/>
  <c r="E597" i="1"/>
  <c r="C597" i="1"/>
  <c r="B597" i="1"/>
  <c r="AP596" i="1"/>
  <c r="AO596" i="1"/>
  <c r="AL596" i="1"/>
  <c r="AK596" i="1"/>
  <c r="AE596" i="1"/>
  <c r="AC596" i="1"/>
  <c r="AB596" i="1"/>
  <c r="AA596" i="1"/>
  <c r="Y596" i="1"/>
  <c r="X596" i="1"/>
  <c r="T596" i="1"/>
  <c r="S596" i="1"/>
  <c r="R596" i="1"/>
  <c r="Q596" i="1"/>
  <c r="P596" i="1"/>
  <c r="O596" i="1"/>
  <c r="N596" i="1"/>
  <c r="M596" i="1"/>
  <c r="U596" i="1" s="1"/>
  <c r="K596" i="1"/>
  <c r="L596" i="1" s="1"/>
  <c r="F596" i="1"/>
  <c r="E596" i="1"/>
  <c r="C596" i="1"/>
  <c r="B596" i="1"/>
  <c r="AP595" i="1"/>
  <c r="AO595" i="1"/>
  <c r="AR595" i="1" s="1"/>
  <c r="AL595" i="1"/>
  <c r="AK595" i="1"/>
  <c r="AN595" i="1" s="1"/>
  <c r="AE595" i="1"/>
  <c r="AC595" i="1"/>
  <c r="AB595" i="1"/>
  <c r="AA595" i="1"/>
  <c r="Y595" i="1"/>
  <c r="X595" i="1"/>
  <c r="T595" i="1"/>
  <c r="S595" i="1"/>
  <c r="R595" i="1"/>
  <c r="Q595" i="1"/>
  <c r="P595" i="1"/>
  <c r="O595" i="1"/>
  <c r="N595" i="1"/>
  <c r="M595" i="1"/>
  <c r="U595" i="1" s="1"/>
  <c r="L595" i="1"/>
  <c r="F595" i="1"/>
  <c r="E595" i="1"/>
  <c r="C595" i="1"/>
  <c r="B595" i="1"/>
  <c r="AP594" i="1"/>
  <c r="AO594" i="1"/>
  <c r="AR594" i="1" s="1"/>
  <c r="AL594" i="1"/>
  <c r="AK594" i="1"/>
  <c r="AN594" i="1" s="1"/>
  <c r="AE594" i="1"/>
  <c r="AC594" i="1"/>
  <c r="AB594" i="1"/>
  <c r="AA594" i="1"/>
  <c r="Y594" i="1"/>
  <c r="Z594" i="1" s="1"/>
  <c r="X594" i="1"/>
  <c r="T594" i="1"/>
  <c r="S594" i="1"/>
  <c r="R594" i="1"/>
  <c r="Q594" i="1"/>
  <c r="P594" i="1"/>
  <c r="O594" i="1"/>
  <c r="N594" i="1"/>
  <c r="M594" i="1"/>
  <c r="U594" i="1" s="1"/>
  <c r="L594" i="1"/>
  <c r="F594" i="1"/>
  <c r="E594" i="1"/>
  <c r="C594" i="1"/>
  <c r="B594" i="1"/>
  <c r="AP593" i="1"/>
  <c r="AO593" i="1"/>
  <c r="AR593" i="1" s="1"/>
  <c r="AL593" i="1"/>
  <c r="AK593" i="1"/>
  <c r="AN593" i="1" s="1"/>
  <c r="AE593" i="1"/>
  <c r="AC593" i="1"/>
  <c r="AB593" i="1"/>
  <c r="AA593" i="1"/>
  <c r="Y593" i="1"/>
  <c r="Z593" i="1" s="1"/>
  <c r="X593" i="1"/>
  <c r="T593" i="1"/>
  <c r="S593" i="1"/>
  <c r="R593" i="1"/>
  <c r="Q593" i="1"/>
  <c r="P593" i="1"/>
  <c r="O593" i="1"/>
  <c r="N593" i="1"/>
  <c r="M593" i="1"/>
  <c r="L593" i="1"/>
  <c r="F593" i="1"/>
  <c r="E593" i="1"/>
  <c r="C593" i="1"/>
  <c r="B593" i="1"/>
  <c r="AP592" i="1"/>
  <c r="AO592" i="1"/>
  <c r="AR592" i="1" s="1"/>
  <c r="AL592" i="1"/>
  <c r="AK592" i="1"/>
  <c r="AN592" i="1" s="1"/>
  <c r="AE592" i="1"/>
  <c r="AC592" i="1"/>
  <c r="AB592" i="1"/>
  <c r="AA592" i="1"/>
  <c r="Y592" i="1"/>
  <c r="Z592" i="1" s="1"/>
  <c r="X592" i="1"/>
  <c r="T592" i="1"/>
  <c r="S592" i="1"/>
  <c r="R592" i="1"/>
  <c r="Q592" i="1"/>
  <c r="P592" i="1"/>
  <c r="O592" i="1"/>
  <c r="N592" i="1"/>
  <c r="M592" i="1"/>
  <c r="L592" i="1"/>
  <c r="F592" i="1"/>
  <c r="E592" i="1"/>
  <c r="C592" i="1"/>
  <c r="B592" i="1"/>
  <c r="AP591" i="1"/>
  <c r="AO591" i="1"/>
  <c r="AL591" i="1"/>
  <c r="AK591" i="1"/>
  <c r="AE591" i="1"/>
  <c r="AC591" i="1"/>
  <c r="AB591" i="1"/>
  <c r="AA591" i="1"/>
  <c r="Y591" i="1"/>
  <c r="X591" i="1"/>
  <c r="T591" i="1"/>
  <c r="S591" i="1"/>
  <c r="R591" i="1"/>
  <c r="Q591" i="1"/>
  <c r="P591" i="1"/>
  <c r="O591" i="1"/>
  <c r="N591" i="1"/>
  <c r="M591" i="1"/>
  <c r="U591" i="1" s="1"/>
  <c r="K591" i="1"/>
  <c r="L591" i="1" s="1"/>
  <c r="F591" i="1"/>
  <c r="E591" i="1"/>
  <c r="C591" i="1"/>
  <c r="B591" i="1"/>
  <c r="AP590" i="1"/>
  <c r="AO590" i="1"/>
  <c r="AR590" i="1" s="1"/>
  <c r="AL590" i="1"/>
  <c r="AK590" i="1"/>
  <c r="AN590" i="1" s="1"/>
  <c r="AE590" i="1"/>
  <c r="AC590" i="1"/>
  <c r="AB590" i="1"/>
  <c r="AA590" i="1"/>
  <c r="Y590" i="1"/>
  <c r="X590" i="1"/>
  <c r="T590" i="1"/>
  <c r="S590" i="1"/>
  <c r="R590" i="1"/>
  <c r="Q590" i="1"/>
  <c r="P590" i="1"/>
  <c r="O590" i="1"/>
  <c r="N590" i="1"/>
  <c r="M590" i="1"/>
  <c r="U590" i="1" s="1"/>
  <c r="L590" i="1"/>
  <c r="F590" i="1"/>
  <c r="E590" i="1"/>
  <c r="C590" i="1"/>
  <c r="B590" i="1"/>
  <c r="AP589" i="1"/>
  <c r="AO589" i="1"/>
  <c r="AR589" i="1" s="1"/>
  <c r="AL589" i="1"/>
  <c r="AK589" i="1"/>
  <c r="AN589" i="1" s="1"/>
  <c r="AE589" i="1"/>
  <c r="AC589" i="1"/>
  <c r="AB589" i="1"/>
  <c r="AA589" i="1"/>
  <c r="Y589" i="1"/>
  <c r="Z589" i="1" s="1"/>
  <c r="X589" i="1"/>
  <c r="T589" i="1"/>
  <c r="S589" i="1"/>
  <c r="R589" i="1"/>
  <c r="Q589" i="1"/>
  <c r="P589" i="1"/>
  <c r="O589" i="1"/>
  <c r="N589" i="1"/>
  <c r="M589" i="1"/>
  <c r="L589" i="1"/>
  <c r="F589" i="1"/>
  <c r="E589" i="1"/>
  <c r="C589" i="1"/>
  <c r="B589" i="1"/>
  <c r="AQ588" i="1"/>
  <c r="AR588" i="1" s="1"/>
  <c r="AP588" i="1"/>
  <c r="AO588" i="1"/>
  <c r="AM588" i="1"/>
  <c r="AN588" i="1" s="1"/>
  <c r="AL588" i="1"/>
  <c r="AK588" i="1"/>
  <c r="AE588" i="1"/>
  <c r="AC588" i="1"/>
  <c r="AB588" i="1"/>
  <c r="AA588" i="1"/>
  <c r="Y588" i="1"/>
  <c r="X588" i="1"/>
  <c r="T588" i="1"/>
  <c r="S588" i="1"/>
  <c r="R588" i="1"/>
  <c r="Q588" i="1"/>
  <c r="P588" i="1"/>
  <c r="O588" i="1"/>
  <c r="N588" i="1"/>
  <c r="M588" i="1"/>
  <c r="L588" i="1"/>
  <c r="F588" i="1"/>
  <c r="E588" i="1"/>
  <c r="C588" i="1"/>
  <c r="B588" i="1"/>
  <c r="AP587" i="1"/>
  <c r="AO587" i="1"/>
  <c r="AL587" i="1"/>
  <c r="AK587" i="1"/>
  <c r="AE587" i="1"/>
  <c r="AC587" i="1"/>
  <c r="AB587" i="1"/>
  <c r="AA587" i="1"/>
  <c r="Y587" i="1"/>
  <c r="X587" i="1"/>
  <c r="T587" i="1"/>
  <c r="S587" i="1"/>
  <c r="R587" i="1"/>
  <c r="Q587" i="1"/>
  <c r="P587" i="1"/>
  <c r="O587" i="1"/>
  <c r="N587" i="1"/>
  <c r="M587" i="1"/>
  <c r="U587" i="1" s="1"/>
  <c r="K587" i="1"/>
  <c r="L587" i="1" s="1"/>
  <c r="F587" i="1"/>
  <c r="E587" i="1"/>
  <c r="C587" i="1"/>
  <c r="B587" i="1"/>
  <c r="AP586" i="1"/>
  <c r="AO586" i="1"/>
  <c r="AR586" i="1" s="1"/>
  <c r="AL586" i="1"/>
  <c r="AK586" i="1"/>
  <c r="AN586" i="1" s="1"/>
  <c r="AE586" i="1"/>
  <c r="AC586" i="1"/>
  <c r="AB586" i="1"/>
  <c r="AA586" i="1"/>
  <c r="Y586" i="1"/>
  <c r="X586" i="1"/>
  <c r="T586" i="1"/>
  <c r="S586" i="1"/>
  <c r="R586" i="1"/>
  <c r="Q586" i="1"/>
  <c r="P586" i="1"/>
  <c r="O586" i="1"/>
  <c r="N586" i="1"/>
  <c r="M586" i="1"/>
  <c r="U586" i="1" s="1"/>
  <c r="L586" i="1"/>
  <c r="F586" i="1"/>
  <c r="E586" i="1"/>
  <c r="C586" i="1"/>
  <c r="B586" i="1"/>
  <c r="AP585" i="1"/>
  <c r="AO585" i="1"/>
  <c r="AR585" i="1" s="1"/>
  <c r="AL585" i="1"/>
  <c r="AK585" i="1"/>
  <c r="AN585" i="1" s="1"/>
  <c r="AE585" i="1"/>
  <c r="AC585" i="1"/>
  <c r="AB585" i="1"/>
  <c r="AA585" i="1"/>
  <c r="Y585" i="1"/>
  <c r="Z585" i="1" s="1"/>
  <c r="X585" i="1"/>
  <c r="T585" i="1"/>
  <c r="S585" i="1"/>
  <c r="R585" i="1"/>
  <c r="Q585" i="1"/>
  <c r="P585" i="1"/>
  <c r="O585" i="1"/>
  <c r="N585" i="1"/>
  <c r="M585" i="1"/>
  <c r="U585" i="1" s="1"/>
  <c r="L585" i="1"/>
  <c r="F585" i="1"/>
  <c r="E585" i="1"/>
  <c r="C585" i="1"/>
  <c r="B585" i="1"/>
  <c r="AP584" i="1"/>
  <c r="AO584" i="1"/>
  <c r="AR584" i="1" s="1"/>
  <c r="AL584" i="1"/>
  <c r="AK584" i="1"/>
  <c r="AN584" i="1" s="1"/>
  <c r="AE584" i="1"/>
  <c r="AC584" i="1"/>
  <c r="AB584" i="1"/>
  <c r="AA584" i="1"/>
  <c r="Y584" i="1"/>
  <c r="X584" i="1"/>
  <c r="T584" i="1"/>
  <c r="S584" i="1"/>
  <c r="R584" i="1"/>
  <c r="Q584" i="1"/>
  <c r="P584" i="1"/>
  <c r="O584" i="1"/>
  <c r="N584" i="1"/>
  <c r="M584" i="1"/>
  <c r="U584" i="1" s="1"/>
  <c r="L584" i="1"/>
  <c r="F584" i="1"/>
  <c r="E584" i="1"/>
  <c r="C584" i="1"/>
  <c r="B584" i="1"/>
  <c r="AP583" i="1"/>
  <c r="AO583" i="1"/>
  <c r="AR583" i="1" s="1"/>
  <c r="AL583" i="1"/>
  <c r="AK583" i="1"/>
  <c r="AN583" i="1" s="1"/>
  <c r="AE583" i="1"/>
  <c r="AC583" i="1"/>
  <c r="AB583" i="1"/>
  <c r="AA583" i="1"/>
  <c r="Y583" i="1"/>
  <c r="Z583" i="1" s="1"/>
  <c r="X583" i="1"/>
  <c r="T583" i="1"/>
  <c r="S583" i="1"/>
  <c r="R583" i="1"/>
  <c r="Q583" i="1"/>
  <c r="P583" i="1"/>
  <c r="O583" i="1"/>
  <c r="N583" i="1"/>
  <c r="M583" i="1"/>
  <c r="L583" i="1"/>
  <c r="F583" i="1"/>
  <c r="E583" i="1"/>
  <c r="C583" i="1"/>
  <c r="B583" i="1"/>
  <c r="AP582" i="1"/>
  <c r="AO582" i="1"/>
  <c r="AL582" i="1"/>
  <c r="AK582" i="1"/>
  <c r="AE582" i="1"/>
  <c r="AC582" i="1"/>
  <c r="AB582" i="1"/>
  <c r="AA582" i="1"/>
  <c r="Y582" i="1"/>
  <c r="Z582" i="1" s="1"/>
  <c r="X582" i="1"/>
  <c r="T582" i="1"/>
  <c r="S582" i="1"/>
  <c r="R582" i="1"/>
  <c r="Q582" i="1"/>
  <c r="P582" i="1"/>
  <c r="O582" i="1"/>
  <c r="N582" i="1"/>
  <c r="M582" i="1"/>
  <c r="U582" i="1" s="1"/>
  <c r="K582" i="1"/>
  <c r="L582" i="1" s="1"/>
  <c r="F582" i="1"/>
  <c r="E582" i="1"/>
  <c r="C582" i="1"/>
  <c r="B582" i="1"/>
  <c r="AP581" i="1"/>
  <c r="AO581" i="1"/>
  <c r="AR581" i="1" s="1"/>
  <c r="AL581" i="1"/>
  <c r="AK581" i="1"/>
  <c r="AN581" i="1" s="1"/>
  <c r="AE581" i="1"/>
  <c r="AC581" i="1"/>
  <c r="AB581" i="1"/>
  <c r="AA581" i="1"/>
  <c r="Y581" i="1"/>
  <c r="X581" i="1"/>
  <c r="T581" i="1"/>
  <c r="S581" i="1"/>
  <c r="R581" i="1"/>
  <c r="Q581" i="1"/>
  <c r="P581" i="1"/>
  <c r="O581" i="1"/>
  <c r="N581" i="1"/>
  <c r="M581" i="1"/>
  <c r="U581" i="1" s="1"/>
  <c r="L581" i="1"/>
  <c r="F581" i="1"/>
  <c r="E581" i="1"/>
  <c r="C581" i="1"/>
  <c r="B581" i="1"/>
  <c r="AP580" i="1"/>
  <c r="AO580" i="1"/>
  <c r="AR580" i="1" s="1"/>
  <c r="AL580" i="1"/>
  <c r="AK580" i="1"/>
  <c r="AN580" i="1" s="1"/>
  <c r="AE580" i="1"/>
  <c r="AC580" i="1"/>
  <c r="AB580" i="1"/>
  <c r="AA580" i="1"/>
  <c r="Y580" i="1"/>
  <c r="X580" i="1"/>
  <c r="T580" i="1"/>
  <c r="S580" i="1"/>
  <c r="R580" i="1"/>
  <c r="Q580" i="1"/>
  <c r="P580" i="1"/>
  <c r="O580" i="1"/>
  <c r="N580" i="1"/>
  <c r="M580" i="1"/>
  <c r="U580" i="1" s="1"/>
  <c r="L580" i="1"/>
  <c r="F580" i="1"/>
  <c r="G580" i="1" s="1"/>
  <c r="E580" i="1"/>
  <c r="C580" i="1"/>
  <c r="B580" i="1"/>
  <c r="A580" i="1"/>
  <c r="AQ579" i="1"/>
  <c r="AR579" i="1" s="1"/>
  <c r="AP579" i="1"/>
  <c r="AO579" i="1"/>
  <c r="AM579" i="1"/>
  <c r="AN579" i="1" s="1"/>
  <c r="AL579" i="1"/>
  <c r="AK579" i="1"/>
  <c r="AE579" i="1"/>
  <c r="AC579" i="1"/>
  <c r="AB579" i="1"/>
  <c r="AA579" i="1"/>
  <c r="Y579" i="1"/>
  <c r="X579" i="1"/>
  <c r="T579" i="1"/>
  <c r="S579" i="1"/>
  <c r="R579" i="1"/>
  <c r="Q579" i="1"/>
  <c r="P579" i="1"/>
  <c r="O579" i="1"/>
  <c r="N579" i="1"/>
  <c r="M579" i="1"/>
  <c r="U579" i="1" s="1"/>
  <c r="L579" i="1"/>
  <c r="F579" i="1"/>
  <c r="G579" i="1" s="1"/>
  <c r="E579" i="1"/>
  <c r="C579" i="1"/>
  <c r="B579" i="1"/>
  <c r="A579" i="1"/>
  <c r="AP578" i="1"/>
  <c r="AO578" i="1"/>
  <c r="AR578" i="1" s="1"/>
  <c r="AL578" i="1"/>
  <c r="AK578" i="1"/>
  <c r="AN578" i="1" s="1"/>
  <c r="AE578" i="1"/>
  <c r="AC578" i="1"/>
  <c r="AB578" i="1"/>
  <c r="AA578" i="1"/>
  <c r="Y578" i="1"/>
  <c r="X578" i="1"/>
  <c r="T578" i="1"/>
  <c r="S578" i="1"/>
  <c r="R578" i="1"/>
  <c r="Q578" i="1"/>
  <c r="P578" i="1"/>
  <c r="O578" i="1"/>
  <c r="N578" i="1"/>
  <c r="M578" i="1"/>
  <c r="U578" i="1" s="1"/>
  <c r="L578" i="1"/>
  <c r="F578" i="1"/>
  <c r="G578" i="1" s="1"/>
  <c r="E578" i="1"/>
  <c r="C578" i="1"/>
  <c r="B578" i="1"/>
  <c r="A578" i="1"/>
  <c r="AQ577" i="1"/>
  <c r="AR577" i="1" s="1"/>
  <c r="AP577" i="1"/>
  <c r="AO577" i="1"/>
  <c r="AM577" i="1"/>
  <c r="AN577" i="1" s="1"/>
  <c r="AL577" i="1"/>
  <c r="AK577" i="1"/>
  <c r="AE577" i="1"/>
  <c r="AC577" i="1"/>
  <c r="AB577" i="1"/>
  <c r="AA577" i="1"/>
  <c r="Y577" i="1"/>
  <c r="X577" i="1"/>
  <c r="T577" i="1"/>
  <c r="S577" i="1"/>
  <c r="R577" i="1"/>
  <c r="Q577" i="1"/>
  <c r="P577" i="1"/>
  <c r="O577" i="1"/>
  <c r="N577" i="1"/>
  <c r="M577" i="1"/>
  <c r="U577" i="1" s="1"/>
  <c r="L577" i="1"/>
  <c r="F577" i="1"/>
  <c r="G577" i="1" s="1"/>
  <c r="E577" i="1"/>
  <c r="C577" i="1"/>
  <c r="B577" i="1"/>
  <c r="A577" i="1"/>
  <c r="AP576" i="1"/>
  <c r="AO576" i="1"/>
  <c r="AL576" i="1"/>
  <c r="AK576" i="1"/>
  <c r="AE576" i="1"/>
  <c r="AC576" i="1"/>
  <c r="AB576" i="1"/>
  <c r="AA576" i="1"/>
  <c r="Y576" i="1"/>
  <c r="X576" i="1"/>
  <c r="T576" i="1"/>
  <c r="S576" i="1"/>
  <c r="R576" i="1"/>
  <c r="Q576" i="1"/>
  <c r="P576" i="1"/>
  <c r="O576" i="1"/>
  <c r="N576" i="1"/>
  <c r="M576" i="1"/>
  <c r="U576" i="1" s="1"/>
  <c r="K576" i="1"/>
  <c r="L576" i="1" s="1"/>
  <c r="F576" i="1"/>
  <c r="G576" i="1" s="1"/>
  <c r="E576" i="1"/>
  <c r="C576" i="1"/>
  <c r="B576" i="1"/>
  <c r="A576" i="1"/>
  <c r="AQ575" i="1"/>
  <c r="AR575" i="1" s="1"/>
  <c r="AP575" i="1"/>
  <c r="AO575" i="1"/>
  <c r="AM575" i="1"/>
  <c r="AN575" i="1" s="1"/>
  <c r="AL575" i="1"/>
  <c r="AK575" i="1"/>
  <c r="AE575" i="1"/>
  <c r="AC575" i="1"/>
  <c r="AB575" i="1"/>
  <c r="AA575" i="1"/>
  <c r="Y575" i="1"/>
  <c r="X575" i="1"/>
  <c r="T575" i="1"/>
  <c r="S575" i="1"/>
  <c r="R575" i="1"/>
  <c r="Q575" i="1"/>
  <c r="P575" i="1"/>
  <c r="O575" i="1"/>
  <c r="N575" i="1"/>
  <c r="M575" i="1"/>
  <c r="U575" i="1" s="1"/>
  <c r="L575" i="1"/>
  <c r="F575" i="1"/>
  <c r="G575" i="1" s="1"/>
  <c r="E575" i="1"/>
  <c r="C575" i="1"/>
  <c r="B575" i="1"/>
  <c r="A575" i="1"/>
  <c r="AP574" i="1"/>
  <c r="AO574" i="1"/>
  <c r="AL574" i="1"/>
  <c r="AK574" i="1"/>
  <c r="AE574" i="1"/>
  <c r="AC574" i="1"/>
  <c r="AB574" i="1"/>
  <c r="AA574" i="1"/>
  <c r="Y574" i="1"/>
  <c r="X574" i="1"/>
  <c r="T574" i="1"/>
  <c r="S574" i="1"/>
  <c r="R574" i="1"/>
  <c r="Q574" i="1"/>
  <c r="P574" i="1"/>
  <c r="O574" i="1"/>
  <c r="N574" i="1"/>
  <c r="M574" i="1"/>
  <c r="U574" i="1" s="1"/>
  <c r="K574" i="1"/>
  <c r="L574" i="1" s="1"/>
  <c r="F574" i="1"/>
  <c r="G574" i="1" s="1"/>
  <c r="E574" i="1"/>
  <c r="C574" i="1"/>
  <c r="B574" i="1"/>
  <c r="A574" i="1"/>
  <c r="AP573" i="1"/>
  <c r="AO573" i="1"/>
  <c r="AR573" i="1" s="1"/>
  <c r="AL573" i="1"/>
  <c r="AK573" i="1"/>
  <c r="AN573" i="1" s="1"/>
  <c r="AE573" i="1"/>
  <c r="AC573" i="1"/>
  <c r="AB573" i="1"/>
  <c r="AA573" i="1"/>
  <c r="Y573" i="1"/>
  <c r="X573" i="1"/>
  <c r="T573" i="1"/>
  <c r="S573" i="1"/>
  <c r="R573" i="1"/>
  <c r="Q573" i="1"/>
  <c r="P573" i="1"/>
  <c r="O573" i="1"/>
  <c r="N573" i="1"/>
  <c r="M573" i="1"/>
  <c r="U573" i="1" s="1"/>
  <c r="L573" i="1"/>
  <c r="F573" i="1"/>
  <c r="G573" i="1" s="1"/>
  <c r="E573" i="1"/>
  <c r="C573" i="1"/>
  <c r="B573" i="1"/>
  <c r="A573" i="1"/>
  <c r="AP572" i="1"/>
  <c r="AO572" i="1"/>
  <c r="AR572" i="1" s="1"/>
  <c r="AL572" i="1"/>
  <c r="AK572" i="1"/>
  <c r="AN572" i="1" s="1"/>
  <c r="AE572" i="1"/>
  <c r="AC572" i="1"/>
  <c r="AB572" i="1"/>
  <c r="AA572" i="1"/>
  <c r="Y572" i="1"/>
  <c r="X572" i="1"/>
  <c r="T572" i="1"/>
  <c r="S572" i="1"/>
  <c r="R572" i="1"/>
  <c r="Q572" i="1"/>
  <c r="P572" i="1"/>
  <c r="O572" i="1"/>
  <c r="N572" i="1"/>
  <c r="M572" i="1"/>
  <c r="U572" i="1" s="1"/>
  <c r="L572" i="1"/>
  <c r="F572" i="1"/>
  <c r="G572" i="1" s="1"/>
  <c r="E572" i="1"/>
  <c r="C572" i="1"/>
  <c r="B572" i="1"/>
  <c r="A572" i="1"/>
  <c r="AP571" i="1"/>
  <c r="AO571" i="1"/>
  <c r="AL571" i="1"/>
  <c r="AK571" i="1"/>
  <c r="AE571" i="1"/>
  <c r="AC571" i="1"/>
  <c r="AB571" i="1"/>
  <c r="AA571" i="1"/>
  <c r="Y571" i="1"/>
  <c r="X571" i="1"/>
  <c r="T571" i="1"/>
  <c r="S571" i="1"/>
  <c r="R571" i="1"/>
  <c r="Q571" i="1"/>
  <c r="P571" i="1"/>
  <c r="O571" i="1"/>
  <c r="N571" i="1"/>
  <c r="M571" i="1"/>
  <c r="U571" i="1" s="1"/>
  <c r="K571" i="1"/>
  <c r="L571" i="1" s="1"/>
  <c r="F571" i="1"/>
  <c r="G571" i="1" s="1"/>
  <c r="E571" i="1"/>
  <c r="C571" i="1"/>
  <c r="B571" i="1"/>
  <c r="A571" i="1"/>
  <c r="AP570" i="1"/>
  <c r="AO570" i="1"/>
  <c r="AR570" i="1" s="1"/>
  <c r="AL570" i="1"/>
  <c r="AK570" i="1"/>
  <c r="AN570" i="1" s="1"/>
  <c r="AE570" i="1"/>
  <c r="AC570" i="1"/>
  <c r="AB570" i="1"/>
  <c r="AA570" i="1"/>
  <c r="Y570" i="1"/>
  <c r="X570" i="1"/>
  <c r="T570" i="1"/>
  <c r="S570" i="1"/>
  <c r="R570" i="1"/>
  <c r="Q570" i="1"/>
  <c r="P570" i="1"/>
  <c r="O570" i="1"/>
  <c r="N570" i="1"/>
  <c r="M570" i="1"/>
  <c r="U570" i="1" s="1"/>
  <c r="L570" i="1"/>
  <c r="F570" i="1"/>
  <c r="G570" i="1" s="1"/>
  <c r="E570" i="1"/>
  <c r="C570" i="1"/>
  <c r="B570" i="1"/>
  <c r="A570" i="1"/>
  <c r="AQ569" i="1"/>
  <c r="AR569" i="1" s="1"/>
  <c r="AP569" i="1"/>
  <c r="AO569" i="1"/>
  <c r="AM569" i="1"/>
  <c r="AN569" i="1" s="1"/>
  <c r="AL569" i="1"/>
  <c r="AK569" i="1"/>
  <c r="AE569" i="1"/>
  <c r="AC569" i="1"/>
  <c r="AB569" i="1"/>
  <c r="AA569" i="1"/>
  <c r="Y569" i="1"/>
  <c r="X569" i="1"/>
  <c r="T569" i="1"/>
  <c r="S569" i="1"/>
  <c r="R569" i="1"/>
  <c r="Q569" i="1"/>
  <c r="P569" i="1"/>
  <c r="O569" i="1"/>
  <c r="N569" i="1"/>
  <c r="M569" i="1"/>
  <c r="U569" i="1" s="1"/>
  <c r="L569" i="1"/>
  <c r="F569" i="1"/>
  <c r="G569" i="1" s="1"/>
  <c r="E569" i="1"/>
  <c r="C569" i="1"/>
  <c r="B569" i="1"/>
  <c r="A569" i="1"/>
  <c r="AP568" i="1"/>
  <c r="AO568" i="1"/>
  <c r="AL568" i="1"/>
  <c r="AK568" i="1"/>
  <c r="AE568" i="1"/>
  <c r="AC568" i="1"/>
  <c r="AB568" i="1"/>
  <c r="AA568" i="1"/>
  <c r="Y568" i="1"/>
  <c r="X568" i="1"/>
  <c r="T568" i="1"/>
  <c r="S568" i="1"/>
  <c r="R568" i="1"/>
  <c r="Q568" i="1"/>
  <c r="P568" i="1"/>
  <c r="O568" i="1"/>
  <c r="N568" i="1"/>
  <c r="M568" i="1"/>
  <c r="U568" i="1" s="1"/>
  <c r="K568" i="1"/>
  <c r="L568" i="1" s="1"/>
  <c r="F568" i="1"/>
  <c r="G568" i="1" s="1"/>
  <c r="E568" i="1"/>
  <c r="C568" i="1"/>
  <c r="B568" i="1"/>
  <c r="A568" i="1"/>
  <c r="AP567" i="1"/>
  <c r="AO567" i="1"/>
  <c r="AR567" i="1" s="1"/>
  <c r="AL567" i="1"/>
  <c r="AK567" i="1"/>
  <c r="AN567" i="1" s="1"/>
  <c r="AE567" i="1"/>
  <c r="AC567" i="1"/>
  <c r="AB567" i="1"/>
  <c r="AA567" i="1"/>
  <c r="Y567" i="1"/>
  <c r="X567" i="1"/>
  <c r="T567" i="1"/>
  <c r="S567" i="1"/>
  <c r="R567" i="1"/>
  <c r="Q567" i="1"/>
  <c r="P567" i="1"/>
  <c r="O567" i="1"/>
  <c r="N567" i="1"/>
  <c r="M567" i="1"/>
  <c r="U567" i="1" s="1"/>
  <c r="L567" i="1"/>
  <c r="F567" i="1"/>
  <c r="G567" i="1" s="1"/>
  <c r="E567" i="1"/>
  <c r="C567" i="1"/>
  <c r="B567" i="1"/>
  <c r="A567" i="1"/>
  <c r="AP566" i="1"/>
  <c r="AO566" i="1"/>
  <c r="AR566" i="1" s="1"/>
  <c r="AL566" i="1"/>
  <c r="AK566" i="1"/>
  <c r="AN566" i="1" s="1"/>
  <c r="AE566" i="1"/>
  <c r="AC566" i="1"/>
  <c r="AB566" i="1"/>
  <c r="AA566" i="1"/>
  <c r="Y566" i="1"/>
  <c r="X566" i="1"/>
  <c r="T566" i="1"/>
  <c r="S566" i="1"/>
  <c r="R566" i="1"/>
  <c r="Q566" i="1"/>
  <c r="P566" i="1"/>
  <c r="O566" i="1"/>
  <c r="N566" i="1"/>
  <c r="M566" i="1"/>
  <c r="U566" i="1" s="1"/>
  <c r="L566" i="1"/>
  <c r="F566" i="1"/>
  <c r="G566" i="1" s="1"/>
  <c r="E566" i="1"/>
  <c r="C566" i="1"/>
  <c r="B566" i="1"/>
  <c r="A566" i="1"/>
  <c r="AP565" i="1"/>
  <c r="AO565" i="1"/>
  <c r="AR565" i="1" s="1"/>
  <c r="AL565" i="1"/>
  <c r="AK565" i="1"/>
  <c r="AN565" i="1" s="1"/>
  <c r="AE565" i="1"/>
  <c r="AC565" i="1"/>
  <c r="AB565" i="1"/>
  <c r="AA565" i="1"/>
  <c r="Y565" i="1"/>
  <c r="X565" i="1"/>
  <c r="T565" i="1"/>
  <c r="S565" i="1"/>
  <c r="R565" i="1"/>
  <c r="Q565" i="1"/>
  <c r="P565" i="1"/>
  <c r="O565" i="1"/>
  <c r="N565" i="1"/>
  <c r="M565" i="1"/>
  <c r="U565" i="1" s="1"/>
  <c r="L565" i="1"/>
  <c r="F565" i="1"/>
  <c r="G565" i="1" s="1"/>
  <c r="E565" i="1"/>
  <c r="C565" i="1"/>
  <c r="B565" i="1"/>
  <c r="A565" i="1"/>
  <c r="AP564" i="1"/>
  <c r="AO564" i="1"/>
  <c r="AR564" i="1" s="1"/>
  <c r="AL564" i="1"/>
  <c r="AK564" i="1"/>
  <c r="AN564" i="1" s="1"/>
  <c r="AE564" i="1"/>
  <c r="AC564" i="1"/>
  <c r="AB564" i="1"/>
  <c r="AA564" i="1"/>
  <c r="Y564" i="1"/>
  <c r="X564" i="1"/>
  <c r="T564" i="1"/>
  <c r="S564" i="1"/>
  <c r="R564" i="1"/>
  <c r="Q564" i="1"/>
  <c r="P564" i="1"/>
  <c r="O564" i="1"/>
  <c r="N564" i="1"/>
  <c r="M564" i="1"/>
  <c r="U564" i="1" s="1"/>
  <c r="L564" i="1"/>
  <c r="F564" i="1"/>
  <c r="G564" i="1" s="1"/>
  <c r="E564" i="1"/>
  <c r="C564" i="1"/>
  <c r="B564" i="1"/>
  <c r="A564" i="1"/>
  <c r="AP563" i="1"/>
  <c r="AO563" i="1"/>
  <c r="AR563" i="1" s="1"/>
  <c r="AL563" i="1"/>
  <c r="AK563" i="1"/>
  <c r="AN563" i="1" s="1"/>
  <c r="AE563" i="1"/>
  <c r="AC563" i="1"/>
  <c r="AB563" i="1"/>
  <c r="AA563" i="1"/>
  <c r="Y563" i="1"/>
  <c r="X563" i="1"/>
  <c r="T563" i="1"/>
  <c r="S563" i="1"/>
  <c r="R563" i="1"/>
  <c r="Q563" i="1"/>
  <c r="P563" i="1"/>
  <c r="O563" i="1"/>
  <c r="N563" i="1"/>
  <c r="M563" i="1"/>
  <c r="U563" i="1" s="1"/>
  <c r="L563" i="1"/>
  <c r="F563" i="1"/>
  <c r="G563" i="1" s="1"/>
  <c r="E563" i="1"/>
  <c r="C563" i="1"/>
  <c r="B563" i="1"/>
  <c r="A563" i="1"/>
  <c r="AP562" i="1"/>
  <c r="AO562" i="1"/>
  <c r="AL562" i="1"/>
  <c r="AK562" i="1"/>
  <c r="AE562" i="1"/>
  <c r="AC562" i="1"/>
  <c r="AB562" i="1"/>
  <c r="AA562" i="1"/>
  <c r="Y562" i="1"/>
  <c r="X562" i="1"/>
  <c r="T562" i="1"/>
  <c r="S562" i="1"/>
  <c r="R562" i="1"/>
  <c r="Q562" i="1"/>
  <c r="P562" i="1"/>
  <c r="O562" i="1"/>
  <c r="N562" i="1"/>
  <c r="M562" i="1"/>
  <c r="U562" i="1" s="1"/>
  <c r="K562" i="1"/>
  <c r="L562" i="1" s="1"/>
  <c r="F562" i="1"/>
  <c r="G562" i="1" s="1"/>
  <c r="E562" i="1"/>
  <c r="C562" i="1"/>
  <c r="B562" i="1"/>
  <c r="A562" i="1"/>
  <c r="AP561" i="1"/>
  <c r="AO561" i="1"/>
  <c r="AR561" i="1" s="1"/>
  <c r="AL561" i="1"/>
  <c r="AK561" i="1"/>
  <c r="AN561" i="1" s="1"/>
  <c r="AE561" i="1"/>
  <c r="AC561" i="1"/>
  <c r="AB561" i="1"/>
  <c r="AA561" i="1"/>
  <c r="Y561" i="1"/>
  <c r="X561" i="1"/>
  <c r="T561" i="1"/>
  <c r="S561" i="1"/>
  <c r="R561" i="1"/>
  <c r="Q561" i="1"/>
  <c r="P561" i="1"/>
  <c r="O561" i="1"/>
  <c r="N561" i="1"/>
  <c r="M561" i="1"/>
  <c r="U561" i="1" s="1"/>
  <c r="L561" i="1"/>
  <c r="F561" i="1"/>
  <c r="G561" i="1" s="1"/>
  <c r="E561" i="1"/>
  <c r="C561" i="1"/>
  <c r="B561" i="1"/>
  <c r="A561" i="1"/>
  <c r="AQ560" i="1"/>
  <c r="AR560" i="1" s="1"/>
  <c r="AP560" i="1"/>
  <c r="AO560" i="1"/>
  <c r="AM560" i="1"/>
  <c r="AN560" i="1" s="1"/>
  <c r="AL560" i="1"/>
  <c r="AK560" i="1"/>
  <c r="AE560" i="1"/>
  <c r="AC560" i="1"/>
  <c r="AB560" i="1"/>
  <c r="AA560" i="1"/>
  <c r="Y560" i="1"/>
  <c r="X560" i="1"/>
  <c r="T560" i="1"/>
  <c r="S560" i="1"/>
  <c r="R560" i="1"/>
  <c r="Q560" i="1"/>
  <c r="P560" i="1"/>
  <c r="O560" i="1"/>
  <c r="N560" i="1"/>
  <c r="M560" i="1"/>
  <c r="U560" i="1" s="1"/>
  <c r="L560" i="1"/>
  <c r="F560" i="1"/>
  <c r="G560" i="1" s="1"/>
  <c r="E560" i="1"/>
  <c r="C560" i="1"/>
  <c r="B560" i="1"/>
  <c r="A560" i="1"/>
  <c r="AP559" i="1"/>
  <c r="AO559" i="1"/>
  <c r="AL559" i="1"/>
  <c r="AK559" i="1"/>
  <c r="AE559" i="1"/>
  <c r="AC559" i="1"/>
  <c r="AB559" i="1"/>
  <c r="AA559" i="1"/>
  <c r="Y559" i="1"/>
  <c r="X559" i="1"/>
  <c r="T559" i="1"/>
  <c r="S559" i="1"/>
  <c r="R559" i="1"/>
  <c r="Q559" i="1"/>
  <c r="P559" i="1"/>
  <c r="O559" i="1"/>
  <c r="N559" i="1"/>
  <c r="M559" i="1"/>
  <c r="U559" i="1" s="1"/>
  <c r="K559" i="1"/>
  <c r="L559" i="1" s="1"/>
  <c r="F559" i="1"/>
  <c r="G559" i="1" s="1"/>
  <c r="E559" i="1"/>
  <c r="C559" i="1"/>
  <c r="B559" i="1"/>
  <c r="A559" i="1"/>
  <c r="AQ558" i="1"/>
  <c r="AR558" i="1" s="1"/>
  <c r="AP558" i="1"/>
  <c r="AO558" i="1"/>
  <c r="AM558" i="1"/>
  <c r="AN558" i="1" s="1"/>
  <c r="AL558" i="1"/>
  <c r="AK558" i="1"/>
  <c r="AE558" i="1"/>
  <c r="AC558" i="1"/>
  <c r="AB558" i="1"/>
  <c r="AA558" i="1"/>
  <c r="Y558" i="1"/>
  <c r="X558" i="1"/>
  <c r="T558" i="1"/>
  <c r="S558" i="1"/>
  <c r="R558" i="1"/>
  <c r="Q558" i="1"/>
  <c r="P558" i="1"/>
  <c r="O558" i="1"/>
  <c r="N558" i="1"/>
  <c r="M558" i="1"/>
  <c r="U558" i="1" s="1"/>
  <c r="L558" i="1"/>
  <c r="F558" i="1"/>
  <c r="G558" i="1" s="1"/>
  <c r="E558" i="1"/>
  <c r="C558" i="1"/>
  <c r="B558" i="1"/>
  <c r="A558" i="1"/>
  <c r="AP557" i="1"/>
  <c r="AO557" i="1"/>
  <c r="AR557" i="1" s="1"/>
  <c r="AL557" i="1"/>
  <c r="AK557" i="1"/>
  <c r="AN557" i="1" s="1"/>
  <c r="AE557" i="1"/>
  <c r="AC557" i="1"/>
  <c r="AB557" i="1"/>
  <c r="AA557" i="1"/>
  <c r="Y557" i="1"/>
  <c r="X557" i="1"/>
  <c r="T557" i="1"/>
  <c r="S557" i="1"/>
  <c r="R557" i="1"/>
  <c r="Q557" i="1"/>
  <c r="P557" i="1"/>
  <c r="O557" i="1"/>
  <c r="N557" i="1"/>
  <c r="M557" i="1"/>
  <c r="U557" i="1" s="1"/>
  <c r="L557" i="1"/>
  <c r="F557" i="1"/>
  <c r="G557" i="1" s="1"/>
  <c r="E557" i="1"/>
  <c r="C557" i="1"/>
  <c r="B557" i="1"/>
  <c r="A557" i="1"/>
  <c r="AP556" i="1"/>
  <c r="AO556" i="1"/>
  <c r="AR556" i="1" s="1"/>
  <c r="AL556" i="1"/>
  <c r="AK556" i="1"/>
  <c r="AN556" i="1" s="1"/>
  <c r="AE556" i="1"/>
  <c r="AC556" i="1"/>
  <c r="AB556" i="1"/>
  <c r="AA556" i="1"/>
  <c r="Y556" i="1"/>
  <c r="X556" i="1"/>
  <c r="T556" i="1"/>
  <c r="S556" i="1"/>
  <c r="R556" i="1"/>
  <c r="Q556" i="1"/>
  <c r="P556" i="1"/>
  <c r="O556" i="1"/>
  <c r="N556" i="1"/>
  <c r="M556" i="1"/>
  <c r="U556" i="1" s="1"/>
  <c r="L556" i="1"/>
  <c r="F556" i="1"/>
  <c r="E556" i="1"/>
  <c r="C556" i="1"/>
  <c r="B556" i="1"/>
  <c r="AQ555" i="1"/>
  <c r="AR555" i="1" s="1"/>
  <c r="AP555" i="1"/>
  <c r="AO555" i="1"/>
  <c r="AM555" i="1"/>
  <c r="AN555" i="1" s="1"/>
  <c r="AL555" i="1"/>
  <c r="AK555" i="1"/>
  <c r="AE555" i="1"/>
  <c r="AC555" i="1"/>
  <c r="AB555" i="1"/>
  <c r="AA555" i="1"/>
  <c r="Y555" i="1"/>
  <c r="X555" i="1"/>
  <c r="T555" i="1"/>
  <c r="S555" i="1"/>
  <c r="R555" i="1"/>
  <c r="Q555" i="1"/>
  <c r="P555" i="1"/>
  <c r="O555" i="1"/>
  <c r="N555" i="1"/>
  <c r="M555" i="1"/>
  <c r="U555" i="1" s="1"/>
  <c r="L555" i="1"/>
  <c r="F555" i="1"/>
  <c r="E555" i="1"/>
  <c r="C555" i="1"/>
  <c r="B555" i="1"/>
  <c r="AP554" i="1"/>
  <c r="AO554" i="1"/>
  <c r="AL554" i="1"/>
  <c r="AK554" i="1"/>
  <c r="AE554" i="1"/>
  <c r="AC554" i="1"/>
  <c r="AB554" i="1"/>
  <c r="AA554" i="1"/>
  <c r="Y554" i="1"/>
  <c r="X554" i="1"/>
  <c r="T554" i="1"/>
  <c r="S554" i="1"/>
  <c r="R554" i="1"/>
  <c r="Q554" i="1"/>
  <c r="P554" i="1"/>
  <c r="O554" i="1"/>
  <c r="N554" i="1"/>
  <c r="M554" i="1"/>
  <c r="U554" i="1" s="1"/>
  <c r="K554" i="1"/>
  <c r="L554" i="1" s="1"/>
  <c r="F554" i="1"/>
  <c r="E554" i="1"/>
  <c r="C554" i="1"/>
  <c r="B554" i="1"/>
  <c r="AP553" i="1"/>
  <c r="AO553" i="1"/>
  <c r="AR553" i="1" s="1"/>
  <c r="AL553" i="1"/>
  <c r="AK553" i="1"/>
  <c r="AN553" i="1" s="1"/>
  <c r="AE553" i="1"/>
  <c r="AC553" i="1"/>
  <c r="AB553" i="1"/>
  <c r="AA553" i="1"/>
  <c r="Y553" i="1"/>
  <c r="X553" i="1"/>
  <c r="T553" i="1"/>
  <c r="S553" i="1"/>
  <c r="R553" i="1"/>
  <c r="Q553" i="1"/>
  <c r="P553" i="1"/>
  <c r="O553" i="1"/>
  <c r="N553" i="1"/>
  <c r="M553" i="1"/>
  <c r="U553" i="1" s="1"/>
  <c r="L553" i="1"/>
  <c r="F553" i="1"/>
  <c r="E553" i="1"/>
  <c r="C553" i="1"/>
  <c r="B553" i="1"/>
  <c r="AP552" i="1"/>
  <c r="AO552" i="1"/>
  <c r="AR552" i="1" s="1"/>
  <c r="AL552" i="1"/>
  <c r="AK552" i="1"/>
  <c r="AN552" i="1" s="1"/>
  <c r="AE552" i="1"/>
  <c r="AC552" i="1"/>
  <c r="AB552" i="1"/>
  <c r="AA552" i="1"/>
  <c r="Y552" i="1"/>
  <c r="X552" i="1"/>
  <c r="T552" i="1"/>
  <c r="S552" i="1"/>
  <c r="R552" i="1"/>
  <c r="Q552" i="1"/>
  <c r="P552" i="1"/>
  <c r="O552" i="1"/>
  <c r="N552" i="1"/>
  <c r="M552" i="1"/>
  <c r="U552" i="1" s="1"/>
  <c r="L552" i="1"/>
  <c r="F552" i="1"/>
  <c r="E552" i="1"/>
  <c r="C552" i="1"/>
  <c r="B552" i="1"/>
  <c r="AP551" i="1"/>
  <c r="AO551" i="1"/>
  <c r="AR551" i="1" s="1"/>
  <c r="AL551" i="1"/>
  <c r="AK551" i="1"/>
  <c r="AN551" i="1" s="1"/>
  <c r="AE551" i="1"/>
  <c r="AC551" i="1"/>
  <c r="AB551" i="1"/>
  <c r="AA551" i="1"/>
  <c r="Y551" i="1"/>
  <c r="X551" i="1"/>
  <c r="T551" i="1"/>
  <c r="S551" i="1"/>
  <c r="R551" i="1"/>
  <c r="Q551" i="1"/>
  <c r="P551" i="1"/>
  <c r="O551" i="1"/>
  <c r="N551" i="1"/>
  <c r="M551" i="1"/>
  <c r="U551" i="1" s="1"/>
  <c r="L551" i="1"/>
  <c r="F551" i="1"/>
  <c r="E551" i="1"/>
  <c r="C551" i="1"/>
  <c r="B551" i="1"/>
  <c r="AP550" i="1"/>
  <c r="AO550" i="1"/>
  <c r="AR550" i="1" s="1"/>
  <c r="AL550" i="1"/>
  <c r="AK550" i="1"/>
  <c r="AN550" i="1" s="1"/>
  <c r="AE550" i="1"/>
  <c r="AC550" i="1"/>
  <c r="AB550" i="1"/>
  <c r="AA550" i="1"/>
  <c r="Y550" i="1"/>
  <c r="X550" i="1"/>
  <c r="T550" i="1"/>
  <c r="S550" i="1"/>
  <c r="R550" i="1"/>
  <c r="Q550" i="1"/>
  <c r="P550" i="1"/>
  <c r="O550" i="1"/>
  <c r="N550" i="1"/>
  <c r="M550" i="1"/>
  <c r="U550" i="1" s="1"/>
  <c r="L550" i="1"/>
  <c r="F550" i="1"/>
  <c r="E550" i="1"/>
  <c r="C550" i="1"/>
  <c r="B550" i="1"/>
  <c r="AP549" i="1"/>
  <c r="AO549" i="1"/>
  <c r="AR549" i="1" s="1"/>
  <c r="AL549" i="1"/>
  <c r="AK549" i="1"/>
  <c r="AN549" i="1" s="1"/>
  <c r="AE549" i="1"/>
  <c r="AC549" i="1"/>
  <c r="AB549" i="1"/>
  <c r="AA549" i="1"/>
  <c r="Y549" i="1"/>
  <c r="X549" i="1"/>
  <c r="T549" i="1"/>
  <c r="S549" i="1"/>
  <c r="R549" i="1"/>
  <c r="Q549" i="1"/>
  <c r="P549" i="1"/>
  <c r="O549" i="1"/>
  <c r="N549" i="1"/>
  <c r="M549" i="1"/>
  <c r="U549" i="1" s="1"/>
  <c r="L549" i="1"/>
  <c r="F549" i="1"/>
  <c r="E549" i="1"/>
  <c r="C549" i="1"/>
  <c r="B549" i="1"/>
  <c r="AQ548" i="1"/>
  <c r="AR548" i="1" s="1"/>
  <c r="AP548" i="1"/>
  <c r="AO548" i="1"/>
  <c r="AM548" i="1"/>
  <c r="AN548" i="1" s="1"/>
  <c r="AL548" i="1"/>
  <c r="AK548" i="1"/>
  <c r="AE548" i="1"/>
  <c r="AC548" i="1"/>
  <c r="AB548" i="1"/>
  <c r="AA548" i="1"/>
  <c r="Y548" i="1"/>
  <c r="X548" i="1"/>
  <c r="T548" i="1"/>
  <c r="S548" i="1"/>
  <c r="R548" i="1"/>
  <c r="Q548" i="1"/>
  <c r="P548" i="1"/>
  <c r="O548" i="1"/>
  <c r="N548" i="1"/>
  <c r="M548" i="1"/>
  <c r="U548" i="1" s="1"/>
  <c r="L548" i="1"/>
  <c r="F548" i="1"/>
  <c r="E548" i="1"/>
  <c r="C548" i="1"/>
  <c r="B548" i="1"/>
  <c r="AP547" i="1"/>
  <c r="AO547" i="1"/>
  <c r="AL547" i="1"/>
  <c r="AK547" i="1"/>
  <c r="AE547" i="1"/>
  <c r="AC547" i="1"/>
  <c r="AB547" i="1"/>
  <c r="AA547" i="1"/>
  <c r="Y547" i="1"/>
  <c r="X547" i="1"/>
  <c r="T547" i="1"/>
  <c r="S547" i="1"/>
  <c r="R547" i="1"/>
  <c r="Q547" i="1"/>
  <c r="P547" i="1"/>
  <c r="O547" i="1"/>
  <c r="N547" i="1"/>
  <c r="M547" i="1"/>
  <c r="U547" i="1" s="1"/>
  <c r="K547" i="1"/>
  <c r="L547" i="1" s="1"/>
  <c r="F547" i="1"/>
  <c r="E547" i="1"/>
  <c r="C547" i="1"/>
  <c r="B547" i="1"/>
  <c r="AP546" i="1"/>
  <c r="AO546" i="1"/>
  <c r="AR546" i="1" s="1"/>
  <c r="AL546" i="1"/>
  <c r="AK546" i="1"/>
  <c r="AN546" i="1" s="1"/>
  <c r="AE546" i="1"/>
  <c r="AC546" i="1"/>
  <c r="AB546" i="1"/>
  <c r="AA546" i="1"/>
  <c r="Y546" i="1"/>
  <c r="X546" i="1"/>
  <c r="T546" i="1"/>
  <c r="S546" i="1"/>
  <c r="R546" i="1"/>
  <c r="Q546" i="1"/>
  <c r="P546" i="1"/>
  <c r="O546" i="1"/>
  <c r="N546" i="1"/>
  <c r="M546" i="1"/>
  <c r="U546" i="1" s="1"/>
  <c r="L546" i="1"/>
  <c r="F546" i="1"/>
  <c r="E546" i="1"/>
  <c r="C546" i="1"/>
  <c r="B546" i="1"/>
  <c r="AP545" i="1"/>
  <c r="AO545" i="1"/>
  <c r="AR545" i="1" s="1"/>
  <c r="AL545" i="1"/>
  <c r="AK545" i="1"/>
  <c r="AN545" i="1" s="1"/>
  <c r="AE545" i="1"/>
  <c r="AC545" i="1"/>
  <c r="AB545" i="1"/>
  <c r="AA545" i="1"/>
  <c r="Y545" i="1"/>
  <c r="X545" i="1"/>
  <c r="T545" i="1"/>
  <c r="S545" i="1"/>
  <c r="R545" i="1"/>
  <c r="Q545" i="1"/>
  <c r="P545" i="1"/>
  <c r="O545" i="1"/>
  <c r="N545" i="1"/>
  <c r="M545" i="1"/>
  <c r="U545" i="1" s="1"/>
  <c r="L545" i="1"/>
  <c r="F545" i="1"/>
  <c r="E545" i="1"/>
  <c r="C545" i="1"/>
  <c r="B545" i="1"/>
  <c r="AP544" i="1"/>
  <c r="AO544" i="1"/>
  <c r="AR544" i="1" s="1"/>
  <c r="AL544" i="1"/>
  <c r="AK544" i="1"/>
  <c r="AN544" i="1" s="1"/>
  <c r="AE544" i="1"/>
  <c r="AC544" i="1"/>
  <c r="AB544" i="1"/>
  <c r="AA544" i="1"/>
  <c r="Y544" i="1"/>
  <c r="X544" i="1"/>
  <c r="T544" i="1"/>
  <c r="S544" i="1"/>
  <c r="R544" i="1"/>
  <c r="Q544" i="1"/>
  <c r="P544" i="1"/>
  <c r="O544" i="1"/>
  <c r="N544" i="1"/>
  <c r="M544" i="1"/>
  <c r="U544" i="1" s="1"/>
  <c r="L544" i="1"/>
  <c r="F544" i="1"/>
  <c r="E544" i="1"/>
  <c r="C544" i="1"/>
  <c r="B544" i="1"/>
  <c r="AP543" i="1"/>
  <c r="AO543" i="1"/>
  <c r="AR543" i="1" s="1"/>
  <c r="AL543" i="1"/>
  <c r="AK543" i="1"/>
  <c r="AN543" i="1" s="1"/>
  <c r="AE543" i="1"/>
  <c r="AC543" i="1"/>
  <c r="AB543" i="1"/>
  <c r="AA543" i="1"/>
  <c r="Y543" i="1"/>
  <c r="X543" i="1"/>
  <c r="T543" i="1"/>
  <c r="S543" i="1"/>
  <c r="R543" i="1"/>
  <c r="Q543" i="1"/>
  <c r="P543" i="1"/>
  <c r="O543" i="1"/>
  <c r="N543" i="1"/>
  <c r="M543" i="1"/>
  <c r="U543" i="1" s="1"/>
  <c r="L543" i="1"/>
  <c r="F543" i="1"/>
  <c r="E543" i="1"/>
  <c r="C543" i="1"/>
  <c r="B543" i="1"/>
  <c r="AP542" i="1"/>
  <c r="AO542" i="1"/>
  <c r="AR542" i="1" s="1"/>
  <c r="AL542" i="1"/>
  <c r="AK542" i="1"/>
  <c r="AN542" i="1" s="1"/>
  <c r="AE542" i="1"/>
  <c r="AC542" i="1"/>
  <c r="AB542" i="1"/>
  <c r="AA542" i="1"/>
  <c r="Y542" i="1"/>
  <c r="X542" i="1"/>
  <c r="T542" i="1"/>
  <c r="S542" i="1"/>
  <c r="R542" i="1"/>
  <c r="Q542" i="1"/>
  <c r="P542" i="1"/>
  <c r="O542" i="1"/>
  <c r="N542" i="1"/>
  <c r="M542" i="1"/>
  <c r="U542" i="1" s="1"/>
  <c r="L542" i="1"/>
  <c r="F542" i="1"/>
  <c r="E542" i="1"/>
  <c r="C542" i="1"/>
  <c r="B542" i="1"/>
  <c r="AQ541" i="1"/>
  <c r="AR541" i="1" s="1"/>
  <c r="AP541" i="1"/>
  <c r="AO541" i="1"/>
  <c r="AM541" i="1"/>
  <c r="AN541" i="1" s="1"/>
  <c r="AL541" i="1"/>
  <c r="AK541" i="1"/>
  <c r="AE541" i="1"/>
  <c r="AC541" i="1"/>
  <c r="AB541" i="1"/>
  <c r="AA541" i="1"/>
  <c r="Y541" i="1"/>
  <c r="X541" i="1"/>
  <c r="T541" i="1"/>
  <c r="S541" i="1"/>
  <c r="R541" i="1"/>
  <c r="Q541" i="1"/>
  <c r="P541" i="1"/>
  <c r="O541" i="1"/>
  <c r="N541" i="1"/>
  <c r="M541" i="1"/>
  <c r="U541" i="1" s="1"/>
  <c r="L541" i="1"/>
  <c r="F541" i="1"/>
  <c r="E541" i="1"/>
  <c r="C541" i="1"/>
  <c r="B541" i="1"/>
  <c r="AP540" i="1"/>
  <c r="AO540" i="1"/>
  <c r="AL540" i="1"/>
  <c r="AK540" i="1"/>
  <c r="AE540" i="1"/>
  <c r="AC540" i="1"/>
  <c r="AB540" i="1"/>
  <c r="AA540" i="1"/>
  <c r="Y540" i="1"/>
  <c r="X540" i="1"/>
  <c r="T540" i="1"/>
  <c r="S540" i="1"/>
  <c r="R540" i="1"/>
  <c r="Q540" i="1"/>
  <c r="P540" i="1"/>
  <c r="O540" i="1"/>
  <c r="N540" i="1"/>
  <c r="M540" i="1"/>
  <c r="U540" i="1" s="1"/>
  <c r="K540" i="1"/>
  <c r="L540" i="1" s="1"/>
  <c r="F540" i="1"/>
  <c r="E540" i="1"/>
  <c r="C540" i="1"/>
  <c r="B540" i="1"/>
  <c r="AP539" i="1"/>
  <c r="AO539" i="1"/>
  <c r="AR539" i="1" s="1"/>
  <c r="AL539" i="1"/>
  <c r="AK539" i="1"/>
  <c r="AN539" i="1" s="1"/>
  <c r="AE539" i="1"/>
  <c r="AC539" i="1"/>
  <c r="AB539" i="1"/>
  <c r="AA539" i="1"/>
  <c r="Y539" i="1"/>
  <c r="X539" i="1"/>
  <c r="T539" i="1"/>
  <c r="S539" i="1"/>
  <c r="R539" i="1"/>
  <c r="Q539" i="1"/>
  <c r="P539" i="1"/>
  <c r="O539" i="1"/>
  <c r="N539" i="1"/>
  <c r="M539" i="1"/>
  <c r="U539" i="1" s="1"/>
  <c r="L539" i="1"/>
  <c r="F539" i="1"/>
  <c r="E539" i="1"/>
  <c r="C539" i="1"/>
  <c r="B539" i="1"/>
  <c r="AP538" i="1"/>
  <c r="AO538" i="1"/>
  <c r="AR538" i="1" s="1"/>
  <c r="AL538" i="1"/>
  <c r="AK538" i="1"/>
  <c r="AN538" i="1" s="1"/>
  <c r="AE538" i="1"/>
  <c r="AC538" i="1"/>
  <c r="AB538" i="1"/>
  <c r="AA538" i="1"/>
  <c r="Y538" i="1"/>
  <c r="X538" i="1"/>
  <c r="T538" i="1"/>
  <c r="S538" i="1"/>
  <c r="R538" i="1"/>
  <c r="Q538" i="1"/>
  <c r="P538" i="1"/>
  <c r="O538" i="1"/>
  <c r="N538" i="1"/>
  <c r="M538" i="1"/>
  <c r="U538" i="1" s="1"/>
  <c r="L538" i="1"/>
  <c r="F538" i="1"/>
  <c r="E538" i="1"/>
  <c r="C538" i="1"/>
  <c r="B538" i="1"/>
  <c r="AP537" i="1"/>
  <c r="AO537" i="1"/>
  <c r="AR537" i="1" s="1"/>
  <c r="AL537" i="1"/>
  <c r="AK537" i="1"/>
  <c r="AN537" i="1" s="1"/>
  <c r="AE537" i="1"/>
  <c r="AC537" i="1"/>
  <c r="AB537" i="1"/>
  <c r="AA537" i="1"/>
  <c r="Y537" i="1"/>
  <c r="X537" i="1"/>
  <c r="T537" i="1"/>
  <c r="S537" i="1"/>
  <c r="R537" i="1"/>
  <c r="Q537" i="1"/>
  <c r="P537" i="1"/>
  <c r="O537" i="1"/>
  <c r="N537" i="1"/>
  <c r="M537" i="1"/>
  <c r="U537" i="1" s="1"/>
  <c r="L537" i="1"/>
  <c r="F537" i="1"/>
  <c r="G537" i="1" s="1"/>
  <c r="E537" i="1"/>
  <c r="C537" i="1"/>
  <c r="B537" i="1"/>
  <c r="A537" i="1"/>
  <c r="AQ536" i="1"/>
  <c r="AR536" i="1" s="1"/>
  <c r="AP536" i="1"/>
  <c r="AO536" i="1"/>
  <c r="AM536" i="1"/>
  <c r="AN536" i="1" s="1"/>
  <c r="AL536" i="1"/>
  <c r="AK536" i="1"/>
  <c r="AE536" i="1"/>
  <c r="AC536" i="1"/>
  <c r="AB536" i="1"/>
  <c r="AA536" i="1"/>
  <c r="Y536" i="1"/>
  <c r="X536" i="1"/>
  <c r="T536" i="1"/>
  <c r="S536" i="1"/>
  <c r="R536" i="1"/>
  <c r="Q536" i="1"/>
  <c r="P536" i="1"/>
  <c r="O536" i="1"/>
  <c r="N536" i="1"/>
  <c r="M536" i="1"/>
  <c r="U536" i="1" s="1"/>
  <c r="L536" i="1"/>
  <c r="F536" i="1"/>
  <c r="G536" i="1" s="1"/>
  <c r="E536" i="1"/>
  <c r="C536" i="1"/>
  <c r="B536" i="1"/>
  <c r="A536" i="1"/>
  <c r="AP535" i="1"/>
  <c r="AO535" i="1"/>
  <c r="AR535" i="1" s="1"/>
  <c r="AL535" i="1"/>
  <c r="AK535" i="1"/>
  <c r="AN535" i="1" s="1"/>
  <c r="AE535" i="1"/>
  <c r="AC535" i="1"/>
  <c r="AB535" i="1"/>
  <c r="AA535" i="1"/>
  <c r="Y535" i="1"/>
  <c r="X535" i="1"/>
  <c r="V535" i="1"/>
  <c r="T535" i="1"/>
  <c r="S535" i="1"/>
  <c r="R535" i="1"/>
  <c r="Q535" i="1"/>
  <c r="P535" i="1"/>
  <c r="O535" i="1"/>
  <c r="N535" i="1"/>
  <c r="M535" i="1"/>
  <c r="U535" i="1" s="1"/>
  <c r="L535" i="1"/>
  <c r="F535" i="1"/>
  <c r="G535" i="1" s="1"/>
  <c r="E535" i="1"/>
  <c r="C535" i="1"/>
  <c r="B535" i="1"/>
  <c r="A535" i="1"/>
  <c r="AP534" i="1"/>
  <c r="AO534" i="1"/>
  <c r="AR534" i="1" s="1"/>
  <c r="AL534" i="1"/>
  <c r="AK534" i="1"/>
  <c r="AN534" i="1" s="1"/>
  <c r="AE534" i="1"/>
  <c r="AC534" i="1"/>
  <c r="AB534" i="1"/>
  <c r="AA534" i="1"/>
  <c r="Y534" i="1"/>
  <c r="X534" i="1"/>
  <c r="V534" i="1"/>
  <c r="T534" i="1"/>
  <c r="S534" i="1"/>
  <c r="R534" i="1"/>
  <c r="Q534" i="1"/>
  <c r="P534" i="1"/>
  <c r="O534" i="1"/>
  <c r="N534" i="1"/>
  <c r="M534" i="1"/>
  <c r="U534" i="1" s="1"/>
  <c r="L534" i="1"/>
  <c r="F534" i="1"/>
  <c r="G534" i="1" s="1"/>
  <c r="E534" i="1"/>
  <c r="C534" i="1"/>
  <c r="B534" i="1"/>
  <c r="A534" i="1"/>
  <c r="AP533" i="1"/>
  <c r="AO533" i="1"/>
  <c r="AR533" i="1" s="1"/>
  <c r="AL533" i="1"/>
  <c r="AK533" i="1"/>
  <c r="AN533" i="1" s="1"/>
  <c r="AE533" i="1"/>
  <c r="AC533" i="1"/>
  <c r="AB533" i="1"/>
  <c r="AA533" i="1"/>
  <c r="Y533" i="1"/>
  <c r="X533" i="1"/>
  <c r="V533" i="1"/>
  <c r="T533" i="1"/>
  <c r="S533" i="1"/>
  <c r="R533" i="1"/>
  <c r="Q533" i="1"/>
  <c r="P533" i="1"/>
  <c r="O533" i="1"/>
  <c r="N533" i="1"/>
  <c r="M533" i="1"/>
  <c r="U533" i="1" s="1"/>
  <c r="L533" i="1"/>
  <c r="F533" i="1"/>
  <c r="G533" i="1" s="1"/>
  <c r="E533" i="1"/>
  <c r="C533" i="1"/>
  <c r="B533" i="1"/>
  <c r="A533" i="1"/>
  <c r="AQ532" i="1"/>
  <c r="AR532" i="1" s="1"/>
  <c r="AP532" i="1"/>
  <c r="AO532" i="1"/>
  <c r="AM532" i="1"/>
  <c r="AN532" i="1" s="1"/>
  <c r="AL532" i="1"/>
  <c r="AK532" i="1"/>
  <c r="AE532" i="1"/>
  <c r="AC532" i="1"/>
  <c r="AB532" i="1"/>
  <c r="AA532" i="1"/>
  <c r="Y532" i="1"/>
  <c r="X532" i="1"/>
  <c r="V532" i="1"/>
  <c r="T532" i="1"/>
  <c r="S532" i="1"/>
  <c r="R532" i="1"/>
  <c r="Q532" i="1"/>
  <c r="P532" i="1"/>
  <c r="O532" i="1"/>
  <c r="N532" i="1"/>
  <c r="M532" i="1"/>
  <c r="U532" i="1" s="1"/>
  <c r="L532" i="1"/>
  <c r="F532" i="1"/>
  <c r="G532" i="1" s="1"/>
  <c r="E532" i="1"/>
  <c r="C532" i="1"/>
  <c r="B532" i="1"/>
  <c r="A532" i="1"/>
  <c r="AP531" i="1"/>
  <c r="AO531" i="1"/>
  <c r="AR531" i="1" s="1"/>
  <c r="AL531" i="1"/>
  <c r="AK531" i="1"/>
  <c r="AN531" i="1" s="1"/>
  <c r="AE531" i="1"/>
  <c r="AC531" i="1"/>
  <c r="AB531" i="1"/>
  <c r="AA531" i="1"/>
  <c r="Y531" i="1"/>
  <c r="X531" i="1"/>
  <c r="V531" i="1"/>
  <c r="T531" i="1"/>
  <c r="S531" i="1"/>
  <c r="R531" i="1"/>
  <c r="Q531" i="1"/>
  <c r="P531" i="1"/>
  <c r="O531" i="1"/>
  <c r="N531" i="1"/>
  <c r="M531" i="1"/>
  <c r="U531" i="1" s="1"/>
  <c r="L531" i="1"/>
  <c r="F531" i="1"/>
  <c r="E531" i="1"/>
  <c r="C531" i="1"/>
  <c r="B531" i="1"/>
  <c r="AP530" i="1"/>
  <c r="AO530" i="1"/>
  <c r="AR530" i="1" s="1"/>
  <c r="AL530" i="1"/>
  <c r="AK530" i="1"/>
  <c r="AN530" i="1" s="1"/>
  <c r="AE530" i="1"/>
  <c r="AC530" i="1"/>
  <c r="AB530" i="1"/>
  <c r="AA530" i="1"/>
  <c r="Y530" i="1"/>
  <c r="X530" i="1"/>
  <c r="V530" i="1"/>
  <c r="T530" i="1"/>
  <c r="S530" i="1"/>
  <c r="R530" i="1"/>
  <c r="Q530" i="1"/>
  <c r="P530" i="1"/>
  <c r="O530" i="1"/>
  <c r="N530" i="1"/>
  <c r="M530" i="1"/>
  <c r="U530" i="1" s="1"/>
  <c r="L530" i="1"/>
  <c r="F530" i="1"/>
  <c r="G530" i="1" s="1"/>
  <c r="E530" i="1"/>
  <c r="C530" i="1"/>
  <c r="B530" i="1"/>
  <c r="A530" i="1"/>
  <c r="AP529" i="1"/>
  <c r="AO529" i="1"/>
  <c r="AR529" i="1" s="1"/>
  <c r="AL529" i="1"/>
  <c r="AK529" i="1"/>
  <c r="AN529" i="1" s="1"/>
  <c r="AE529" i="1"/>
  <c r="AC529" i="1"/>
  <c r="AB529" i="1"/>
  <c r="AA529" i="1"/>
  <c r="Y529" i="1"/>
  <c r="X529" i="1"/>
  <c r="V529" i="1"/>
  <c r="T529" i="1"/>
  <c r="S529" i="1"/>
  <c r="R529" i="1"/>
  <c r="Q529" i="1"/>
  <c r="P529" i="1"/>
  <c r="O529" i="1"/>
  <c r="N529" i="1"/>
  <c r="M529" i="1"/>
  <c r="U529" i="1" s="1"/>
  <c r="L529" i="1"/>
  <c r="F529" i="1"/>
  <c r="G529" i="1" s="1"/>
  <c r="E529" i="1"/>
  <c r="C529" i="1"/>
  <c r="B529" i="1"/>
  <c r="A529" i="1"/>
  <c r="AQ528" i="1"/>
  <c r="AR528" i="1" s="1"/>
  <c r="AP528" i="1"/>
  <c r="AO528" i="1"/>
  <c r="AM528" i="1"/>
  <c r="AN528" i="1" s="1"/>
  <c r="AL528" i="1"/>
  <c r="AK528" i="1"/>
  <c r="AE528" i="1"/>
  <c r="AC528" i="1"/>
  <c r="AB528" i="1"/>
  <c r="AA528" i="1"/>
  <c r="Y528" i="1"/>
  <c r="X528" i="1"/>
  <c r="V528" i="1"/>
  <c r="T528" i="1"/>
  <c r="S528" i="1"/>
  <c r="R528" i="1"/>
  <c r="Q528" i="1"/>
  <c r="P528" i="1"/>
  <c r="O528" i="1"/>
  <c r="N528" i="1"/>
  <c r="M528" i="1"/>
  <c r="U528" i="1" s="1"/>
  <c r="L528" i="1"/>
  <c r="F528" i="1"/>
  <c r="G528" i="1" s="1"/>
  <c r="E528" i="1"/>
  <c r="C528" i="1"/>
  <c r="B528" i="1"/>
  <c r="A528" i="1"/>
  <c r="AP527" i="1"/>
  <c r="AO527" i="1"/>
  <c r="AL527" i="1"/>
  <c r="AK527" i="1"/>
  <c r="AE527" i="1"/>
  <c r="AC527" i="1"/>
  <c r="AB527" i="1"/>
  <c r="AA527" i="1"/>
  <c r="Y527" i="1"/>
  <c r="X527" i="1"/>
  <c r="V527" i="1"/>
  <c r="T527" i="1"/>
  <c r="S527" i="1"/>
  <c r="R527" i="1"/>
  <c r="Q527" i="1"/>
  <c r="P527" i="1"/>
  <c r="O527" i="1"/>
  <c r="N527" i="1"/>
  <c r="M527" i="1"/>
  <c r="U527" i="1" s="1"/>
  <c r="K527" i="1"/>
  <c r="L527" i="1" s="1"/>
  <c r="F527" i="1"/>
  <c r="G527" i="1" s="1"/>
  <c r="E527" i="1"/>
  <c r="C527" i="1"/>
  <c r="B527" i="1"/>
  <c r="A527" i="1"/>
  <c r="AP526" i="1"/>
  <c r="AO526" i="1"/>
  <c r="AR526" i="1" s="1"/>
  <c r="AL526" i="1"/>
  <c r="AK526" i="1"/>
  <c r="AN526" i="1" s="1"/>
  <c r="AE526" i="1"/>
  <c r="AC526" i="1"/>
  <c r="AB526" i="1"/>
  <c r="AA526" i="1"/>
  <c r="Y526" i="1"/>
  <c r="X526" i="1"/>
  <c r="V526" i="1"/>
  <c r="T526" i="1"/>
  <c r="S526" i="1"/>
  <c r="R526" i="1"/>
  <c r="Q526" i="1"/>
  <c r="P526" i="1"/>
  <c r="O526" i="1"/>
  <c r="N526" i="1"/>
  <c r="M526" i="1"/>
  <c r="U526" i="1" s="1"/>
  <c r="L526" i="1"/>
  <c r="F526" i="1"/>
  <c r="G526" i="1" s="1"/>
  <c r="E526" i="1"/>
  <c r="C526" i="1"/>
  <c r="B526" i="1"/>
  <c r="A526" i="1"/>
  <c r="AP525" i="1"/>
  <c r="AO525" i="1"/>
  <c r="AR525" i="1" s="1"/>
  <c r="AL525" i="1"/>
  <c r="AK525" i="1"/>
  <c r="AN525" i="1" s="1"/>
  <c r="AE525" i="1"/>
  <c r="AC525" i="1"/>
  <c r="AB525" i="1"/>
  <c r="AA525" i="1"/>
  <c r="Y525" i="1"/>
  <c r="X525" i="1"/>
  <c r="V525" i="1"/>
  <c r="T525" i="1"/>
  <c r="S525" i="1"/>
  <c r="R525" i="1"/>
  <c r="Q525" i="1"/>
  <c r="P525" i="1"/>
  <c r="O525" i="1"/>
  <c r="N525" i="1"/>
  <c r="M525" i="1"/>
  <c r="U525" i="1" s="1"/>
  <c r="L525" i="1"/>
  <c r="F525" i="1"/>
  <c r="G525" i="1" s="1"/>
  <c r="E525" i="1"/>
  <c r="C525" i="1"/>
  <c r="B525" i="1"/>
  <c r="A525" i="1"/>
  <c r="AP524" i="1"/>
  <c r="AO524" i="1"/>
  <c r="AR524" i="1" s="1"/>
  <c r="AL524" i="1"/>
  <c r="AK524" i="1"/>
  <c r="AN524" i="1" s="1"/>
  <c r="AE524" i="1"/>
  <c r="AC524" i="1"/>
  <c r="AB524" i="1"/>
  <c r="AA524" i="1"/>
  <c r="Y524" i="1"/>
  <c r="X524" i="1"/>
  <c r="V524" i="1"/>
  <c r="T524" i="1"/>
  <c r="S524" i="1"/>
  <c r="R524" i="1"/>
  <c r="Q524" i="1"/>
  <c r="P524" i="1"/>
  <c r="O524" i="1"/>
  <c r="N524" i="1"/>
  <c r="M524" i="1"/>
  <c r="U524" i="1" s="1"/>
  <c r="L524" i="1"/>
  <c r="F524" i="1"/>
  <c r="G524" i="1" s="1"/>
  <c r="E524" i="1"/>
  <c r="C524" i="1"/>
  <c r="B524" i="1"/>
  <c r="A524" i="1"/>
  <c r="AP523" i="1"/>
  <c r="AO523" i="1"/>
  <c r="AR523" i="1" s="1"/>
  <c r="AL523" i="1"/>
  <c r="AK523" i="1"/>
  <c r="AN523" i="1" s="1"/>
  <c r="AE523" i="1"/>
  <c r="AC523" i="1"/>
  <c r="AB523" i="1"/>
  <c r="AA523" i="1"/>
  <c r="Y523" i="1"/>
  <c r="X523" i="1"/>
  <c r="V523" i="1"/>
  <c r="T523" i="1"/>
  <c r="S523" i="1"/>
  <c r="R523" i="1"/>
  <c r="Q523" i="1"/>
  <c r="P523" i="1"/>
  <c r="O523" i="1"/>
  <c r="N523" i="1"/>
  <c r="M523" i="1"/>
  <c r="U523" i="1" s="1"/>
  <c r="L523" i="1"/>
  <c r="F523" i="1"/>
  <c r="G523" i="1" s="1"/>
  <c r="E523" i="1"/>
  <c r="C523" i="1"/>
  <c r="B523" i="1"/>
  <c r="A523" i="1"/>
  <c r="AP522" i="1"/>
  <c r="AO522" i="1"/>
  <c r="AR522" i="1" s="1"/>
  <c r="AL522" i="1"/>
  <c r="AK522" i="1"/>
  <c r="AN522" i="1" s="1"/>
  <c r="AE522" i="1"/>
  <c r="AC522" i="1"/>
  <c r="AB522" i="1"/>
  <c r="AA522" i="1"/>
  <c r="Y522" i="1"/>
  <c r="X522" i="1"/>
  <c r="V522" i="1"/>
  <c r="T522" i="1"/>
  <c r="S522" i="1"/>
  <c r="R522" i="1"/>
  <c r="Q522" i="1"/>
  <c r="P522" i="1"/>
  <c r="O522" i="1"/>
  <c r="N522" i="1"/>
  <c r="M522" i="1"/>
  <c r="U522" i="1" s="1"/>
  <c r="L522" i="1"/>
  <c r="F522" i="1"/>
  <c r="G522" i="1" s="1"/>
  <c r="E522" i="1"/>
  <c r="C522" i="1"/>
  <c r="B522" i="1"/>
  <c r="A522" i="1"/>
  <c r="AQ521" i="1"/>
  <c r="AR521" i="1" s="1"/>
  <c r="AP521" i="1"/>
  <c r="AO521" i="1"/>
  <c r="AM521" i="1"/>
  <c r="AN521" i="1" s="1"/>
  <c r="AL521" i="1"/>
  <c r="AK521" i="1"/>
  <c r="AE521" i="1"/>
  <c r="AC521" i="1"/>
  <c r="AB521" i="1"/>
  <c r="AA521" i="1"/>
  <c r="Y521" i="1"/>
  <c r="X521" i="1"/>
  <c r="V521" i="1"/>
  <c r="T521" i="1"/>
  <c r="S521" i="1"/>
  <c r="R521" i="1"/>
  <c r="Q521" i="1"/>
  <c r="P521" i="1"/>
  <c r="O521" i="1"/>
  <c r="N521" i="1"/>
  <c r="M521" i="1"/>
  <c r="U521" i="1" s="1"/>
  <c r="L521" i="1"/>
  <c r="F521" i="1"/>
  <c r="G521" i="1" s="1"/>
  <c r="E521" i="1"/>
  <c r="C521" i="1"/>
  <c r="B521" i="1"/>
  <c r="A521" i="1"/>
  <c r="AP520" i="1"/>
  <c r="AO520" i="1"/>
  <c r="AL520" i="1"/>
  <c r="AK520" i="1"/>
  <c r="AE520" i="1"/>
  <c r="AC520" i="1"/>
  <c r="AB520" i="1"/>
  <c r="AA520" i="1"/>
  <c r="Y520" i="1"/>
  <c r="X520" i="1"/>
  <c r="V520" i="1"/>
  <c r="T520" i="1"/>
  <c r="S520" i="1"/>
  <c r="R520" i="1"/>
  <c r="Q520" i="1"/>
  <c r="P520" i="1"/>
  <c r="O520" i="1"/>
  <c r="N520" i="1"/>
  <c r="M520" i="1"/>
  <c r="U520" i="1" s="1"/>
  <c r="K520" i="1"/>
  <c r="L520" i="1" s="1"/>
  <c r="F520" i="1"/>
  <c r="G520" i="1" s="1"/>
  <c r="E520" i="1"/>
  <c r="C520" i="1"/>
  <c r="B520" i="1"/>
  <c r="A520" i="1"/>
  <c r="AP519" i="1"/>
  <c r="AO519" i="1"/>
  <c r="AR519" i="1" s="1"/>
  <c r="AL519" i="1"/>
  <c r="AK519" i="1"/>
  <c r="AN519" i="1" s="1"/>
  <c r="AE519" i="1"/>
  <c r="AC519" i="1"/>
  <c r="AB519" i="1"/>
  <c r="AA519" i="1"/>
  <c r="Y519" i="1"/>
  <c r="X519" i="1"/>
  <c r="V519" i="1"/>
  <c r="T519" i="1"/>
  <c r="S519" i="1"/>
  <c r="R519" i="1"/>
  <c r="Q519" i="1"/>
  <c r="P519" i="1"/>
  <c r="O519" i="1"/>
  <c r="N519" i="1"/>
  <c r="M519" i="1"/>
  <c r="U519" i="1" s="1"/>
  <c r="L519" i="1"/>
  <c r="F519" i="1"/>
  <c r="G519" i="1" s="1"/>
  <c r="E519" i="1"/>
  <c r="C519" i="1"/>
  <c r="B519" i="1"/>
  <c r="A519" i="1"/>
  <c r="AP518" i="1"/>
  <c r="AO518" i="1"/>
  <c r="AR518" i="1" s="1"/>
  <c r="AL518" i="1"/>
  <c r="AK518" i="1"/>
  <c r="AN518" i="1" s="1"/>
  <c r="AE518" i="1"/>
  <c r="AC518" i="1"/>
  <c r="AB518" i="1"/>
  <c r="AA518" i="1"/>
  <c r="Y518" i="1"/>
  <c r="X518" i="1"/>
  <c r="T518" i="1"/>
  <c r="S518" i="1"/>
  <c r="R518" i="1"/>
  <c r="Q518" i="1"/>
  <c r="P518" i="1"/>
  <c r="O518" i="1"/>
  <c r="N518" i="1"/>
  <c r="M518" i="1"/>
  <c r="U518" i="1" s="1"/>
  <c r="L518" i="1"/>
  <c r="F518" i="1"/>
  <c r="G518" i="1" s="1"/>
  <c r="E518" i="1"/>
  <c r="C518" i="1"/>
  <c r="B518" i="1"/>
  <c r="A518" i="1"/>
  <c r="AP517" i="1"/>
  <c r="AO517" i="1"/>
  <c r="AR517" i="1" s="1"/>
  <c r="AL517" i="1"/>
  <c r="AK517" i="1"/>
  <c r="AN517" i="1" s="1"/>
  <c r="AE517" i="1"/>
  <c r="AC517" i="1"/>
  <c r="AB517" i="1"/>
  <c r="AA517" i="1"/>
  <c r="Y517" i="1"/>
  <c r="X517" i="1"/>
  <c r="T517" i="1"/>
  <c r="S517" i="1"/>
  <c r="R517" i="1"/>
  <c r="Q517" i="1"/>
  <c r="P517" i="1"/>
  <c r="O517" i="1"/>
  <c r="N517" i="1"/>
  <c r="M517" i="1"/>
  <c r="U517" i="1" s="1"/>
  <c r="L517" i="1"/>
  <c r="F517" i="1"/>
  <c r="G517" i="1" s="1"/>
  <c r="E517" i="1"/>
  <c r="C517" i="1"/>
  <c r="B517" i="1"/>
  <c r="A517" i="1"/>
  <c r="AP516" i="1"/>
  <c r="AO516" i="1"/>
  <c r="AR516" i="1" s="1"/>
  <c r="AL516" i="1"/>
  <c r="AK516" i="1"/>
  <c r="AN516" i="1" s="1"/>
  <c r="AE516" i="1"/>
  <c r="AC516" i="1"/>
  <c r="AB516" i="1"/>
  <c r="AA516" i="1"/>
  <c r="Y516" i="1"/>
  <c r="X516" i="1"/>
  <c r="T516" i="1"/>
  <c r="S516" i="1"/>
  <c r="R516" i="1"/>
  <c r="Q516" i="1"/>
  <c r="P516" i="1"/>
  <c r="O516" i="1"/>
  <c r="N516" i="1"/>
  <c r="M516" i="1"/>
  <c r="U516" i="1" s="1"/>
  <c r="L516" i="1"/>
  <c r="F516" i="1"/>
  <c r="G516" i="1" s="1"/>
  <c r="E516" i="1"/>
  <c r="C516" i="1"/>
  <c r="B516" i="1"/>
  <c r="A516" i="1"/>
  <c r="AP515" i="1"/>
  <c r="AO515" i="1"/>
  <c r="AR515" i="1" s="1"/>
  <c r="AL515" i="1"/>
  <c r="AK515" i="1"/>
  <c r="AN515" i="1" s="1"/>
  <c r="AE515" i="1"/>
  <c r="AC515" i="1"/>
  <c r="AB515" i="1"/>
  <c r="AA515" i="1"/>
  <c r="Y515" i="1"/>
  <c r="X515" i="1"/>
  <c r="T515" i="1"/>
  <c r="S515" i="1"/>
  <c r="R515" i="1"/>
  <c r="Q515" i="1"/>
  <c r="P515" i="1"/>
  <c r="O515" i="1"/>
  <c r="N515" i="1"/>
  <c r="M515" i="1"/>
  <c r="U515" i="1" s="1"/>
  <c r="L515" i="1"/>
  <c r="F515" i="1"/>
  <c r="G515" i="1" s="1"/>
  <c r="E515" i="1"/>
  <c r="C515" i="1"/>
  <c r="B515" i="1"/>
  <c r="A515" i="1"/>
  <c r="AQ514" i="1"/>
  <c r="AR514" i="1" s="1"/>
  <c r="AP514" i="1"/>
  <c r="AO514" i="1"/>
  <c r="AM514" i="1"/>
  <c r="AN514" i="1" s="1"/>
  <c r="AL514" i="1"/>
  <c r="AK514" i="1"/>
  <c r="AE514" i="1"/>
  <c r="AC514" i="1"/>
  <c r="AB514" i="1"/>
  <c r="AA514" i="1"/>
  <c r="Y514" i="1"/>
  <c r="X514" i="1"/>
  <c r="T514" i="1"/>
  <c r="S514" i="1"/>
  <c r="R514" i="1"/>
  <c r="Q514" i="1"/>
  <c r="P514" i="1"/>
  <c r="O514" i="1"/>
  <c r="N514" i="1"/>
  <c r="M514" i="1"/>
  <c r="U514" i="1" s="1"/>
  <c r="L514" i="1"/>
  <c r="F514" i="1"/>
  <c r="G514" i="1" s="1"/>
  <c r="E514" i="1"/>
  <c r="C514" i="1"/>
  <c r="B514" i="1"/>
  <c r="A514" i="1"/>
  <c r="AP513" i="1"/>
  <c r="AO513" i="1"/>
  <c r="AR513" i="1" s="1"/>
  <c r="AL513" i="1"/>
  <c r="AK513" i="1"/>
  <c r="AN513" i="1" s="1"/>
  <c r="AE513" i="1"/>
  <c r="AC513" i="1"/>
  <c r="AB513" i="1"/>
  <c r="AA513" i="1"/>
  <c r="Y513" i="1"/>
  <c r="X513" i="1"/>
  <c r="T513" i="1"/>
  <c r="S513" i="1"/>
  <c r="R513" i="1"/>
  <c r="Q513" i="1"/>
  <c r="P513" i="1"/>
  <c r="O513" i="1"/>
  <c r="N513" i="1"/>
  <c r="M513" i="1"/>
  <c r="U513" i="1" s="1"/>
  <c r="L513" i="1"/>
  <c r="F513" i="1"/>
  <c r="G513" i="1" s="1"/>
  <c r="E513" i="1"/>
  <c r="C513" i="1"/>
  <c r="B513" i="1"/>
  <c r="A513" i="1"/>
  <c r="AP512" i="1"/>
  <c r="AO512" i="1"/>
  <c r="AR512" i="1" s="1"/>
  <c r="AL512" i="1"/>
  <c r="AK512" i="1"/>
  <c r="AN512" i="1" s="1"/>
  <c r="AE512" i="1"/>
  <c r="AC512" i="1"/>
  <c r="AB512" i="1"/>
  <c r="AA512" i="1"/>
  <c r="Y512" i="1"/>
  <c r="X512" i="1"/>
  <c r="T512" i="1"/>
  <c r="S512" i="1"/>
  <c r="R512" i="1"/>
  <c r="Q512" i="1"/>
  <c r="P512" i="1"/>
  <c r="O512" i="1"/>
  <c r="N512" i="1"/>
  <c r="M512" i="1"/>
  <c r="U512" i="1" s="1"/>
  <c r="L512" i="1"/>
  <c r="F512" i="1"/>
  <c r="G512" i="1" s="1"/>
  <c r="E512" i="1"/>
  <c r="C512" i="1"/>
  <c r="B512" i="1"/>
  <c r="A512" i="1"/>
  <c r="AP511" i="1"/>
  <c r="AO511" i="1"/>
  <c r="AR511" i="1" s="1"/>
  <c r="AL511" i="1"/>
  <c r="AK511" i="1"/>
  <c r="AN511" i="1" s="1"/>
  <c r="AE511" i="1"/>
  <c r="AC511" i="1"/>
  <c r="AB511" i="1"/>
  <c r="AA511" i="1"/>
  <c r="Y511" i="1"/>
  <c r="X511" i="1"/>
  <c r="T511" i="1"/>
  <c r="S511" i="1"/>
  <c r="R511" i="1"/>
  <c r="Q511" i="1"/>
  <c r="P511" i="1"/>
  <c r="O511" i="1"/>
  <c r="N511" i="1"/>
  <c r="M511" i="1"/>
  <c r="U511" i="1" s="1"/>
  <c r="L511" i="1"/>
  <c r="F511" i="1"/>
  <c r="G511" i="1" s="1"/>
  <c r="E511" i="1"/>
  <c r="C511" i="1"/>
  <c r="B511" i="1"/>
  <c r="A511" i="1"/>
  <c r="AP510" i="1"/>
  <c r="AO510" i="1"/>
  <c r="AR510" i="1" s="1"/>
  <c r="AL510" i="1"/>
  <c r="AK510" i="1"/>
  <c r="AN510" i="1" s="1"/>
  <c r="AE510" i="1"/>
  <c r="AC510" i="1"/>
  <c r="AB510" i="1"/>
  <c r="AA510" i="1"/>
  <c r="Y510" i="1"/>
  <c r="X510" i="1"/>
  <c r="T510" i="1"/>
  <c r="S510" i="1"/>
  <c r="R510" i="1"/>
  <c r="Q510" i="1"/>
  <c r="P510" i="1"/>
  <c r="O510" i="1"/>
  <c r="N510" i="1"/>
  <c r="M510" i="1"/>
  <c r="U510" i="1" s="1"/>
  <c r="L510" i="1"/>
  <c r="F510" i="1"/>
  <c r="G510" i="1" s="1"/>
  <c r="E510" i="1"/>
  <c r="C510" i="1"/>
  <c r="B510" i="1"/>
  <c r="A510" i="1"/>
  <c r="AP509" i="1"/>
  <c r="AO509" i="1"/>
  <c r="AL509" i="1"/>
  <c r="AK509" i="1"/>
  <c r="AE509" i="1"/>
  <c r="AC509" i="1"/>
  <c r="AB509" i="1"/>
  <c r="AA509" i="1"/>
  <c r="Y509" i="1"/>
  <c r="X509" i="1"/>
  <c r="T509" i="1"/>
  <c r="S509" i="1"/>
  <c r="R509" i="1"/>
  <c r="Q509" i="1"/>
  <c r="P509" i="1"/>
  <c r="O509" i="1"/>
  <c r="N509" i="1"/>
  <c r="M509" i="1"/>
  <c r="U509" i="1" s="1"/>
  <c r="K509" i="1"/>
  <c r="L509" i="1" s="1"/>
  <c r="F509" i="1"/>
  <c r="G509" i="1" s="1"/>
  <c r="E509" i="1"/>
  <c r="C509" i="1"/>
  <c r="B509" i="1"/>
  <c r="A509" i="1"/>
  <c r="AP508" i="1"/>
  <c r="AO508" i="1"/>
  <c r="AR508" i="1" s="1"/>
  <c r="AL508" i="1"/>
  <c r="AK508" i="1"/>
  <c r="AN508" i="1" s="1"/>
  <c r="AE508" i="1"/>
  <c r="AC508" i="1"/>
  <c r="AB508" i="1"/>
  <c r="AA508" i="1"/>
  <c r="Y508" i="1"/>
  <c r="X508" i="1"/>
  <c r="T508" i="1"/>
  <c r="S508" i="1"/>
  <c r="R508" i="1"/>
  <c r="Q508" i="1"/>
  <c r="P508" i="1"/>
  <c r="O508" i="1"/>
  <c r="N508" i="1"/>
  <c r="M508" i="1"/>
  <c r="U508" i="1" s="1"/>
  <c r="L508" i="1"/>
  <c r="F508" i="1"/>
  <c r="G508" i="1" s="1"/>
  <c r="E508" i="1"/>
  <c r="C508" i="1"/>
  <c r="B508" i="1"/>
  <c r="A508" i="1"/>
  <c r="AP507" i="1"/>
  <c r="AO507" i="1"/>
  <c r="AR507" i="1" s="1"/>
  <c r="AL507" i="1"/>
  <c r="AK507" i="1"/>
  <c r="AN507" i="1" s="1"/>
  <c r="AE507" i="1"/>
  <c r="AC507" i="1"/>
  <c r="AB507" i="1"/>
  <c r="AA507" i="1"/>
  <c r="Y507" i="1"/>
  <c r="X507" i="1"/>
  <c r="T507" i="1"/>
  <c r="S507" i="1"/>
  <c r="R507" i="1"/>
  <c r="Q507" i="1"/>
  <c r="P507" i="1"/>
  <c r="O507" i="1"/>
  <c r="N507" i="1"/>
  <c r="M507" i="1"/>
  <c r="U507" i="1" s="1"/>
  <c r="L507" i="1"/>
  <c r="F507" i="1"/>
  <c r="G507" i="1" s="1"/>
  <c r="E507" i="1"/>
  <c r="C507" i="1"/>
  <c r="B507" i="1"/>
  <c r="A507" i="1"/>
  <c r="AP506" i="1"/>
  <c r="AO506" i="1"/>
  <c r="AR506" i="1" s="1"/>
  <c r="AL506" i="1"/>
  <c r="AK506" i="1"/>
  <c r="AN506" i="1" s="1"/>
  <c r="AE506" i="1"/>
  <c r="AC506" i="1"/>
  <c r="AB506" i="1"/>
  <c r="AA506" i="1"/>
  <c r="Y506" i="1"/>
  <c r="X506" i="1"/>
  <c r="T506" i="1"/>
  <c r="S506" i="1"/>
  <c r="R506" i="1"/>
  <c r="Q506" i="1"/>
  <c r="P506" i="1"/>
  <c r="O506" i="1"/>
  <c r="N506" i="1"/>
  <c r="M506" i="1"/>
  <c r="U506" i="1" s="1"/>
  <c r="L506" i="1"/>
  <c r="F506" i="1"/>
  <c r="G506" i="1" s="1"/>
  <c r="E506" i="1"/>
  <c r="C506" i="1"/>
  <c r="B506" i="1"/>
  <c r="A506" i="1"/>
  <c r="AP505" i="1"/>
  <c r="AO505" i="1"/>
  <c r="AR505" i="1" s="1"/>
  <c r="AL505" i="1"/>
  <c r="AK505" i="1"/>
  <c r="AN505" i="1" s="1"/>
  <c r="AE505" i="1"/>
  <c r="AC505" i="1"/>
  <c r="AB505" i="1"/>
  <c r="AA505" i="1"/>
  <c r="Y505" i="1"/>
  <c r="X505" i="1"/>
  <c r="T505" i="1"/>
  <c r="S505" i="1"/>
  <c r="R505" i="1"/>
  <c r="Q505" i="1"/>
  <c r="P505" i="1"/>
  <c r="O505" i="1"/>
  <c r="N505" i="1"/>
  <c r="M505" i="1"/>
  <c r="U505" i="1" s="1"/>
  <c r="L505" i="1"/>
  <c r="F505" i="1"/>
  <c r="G505" i="1" s="1"/>
  <c r="E505" i="1"/>
  <c r="C505" i="1"/>
  <c r="B505" i="1"/>
  <c r="A505" i="1"/>
  <c r="AP504" i="1"/>
  <c r="AO504" i="1"/>
  <c r="AR504" i="1" s="1"/>
  <c r="AL504" i="1"/>
  <c r="AK504" i="1"/>
  <c r="AN504" i="1" s="1"/>
  <c r="AE504" i="1"/>
  <c r="AC504" i="1"/>
  <c r="AB504" i="1"/>
  <c r="AA504" i="1"/>
  <c r="Y504" i="1"/>
  <c r="X504" i="1"/>
  <c r="T504" i="1"/>
  <c r="S504" i="1"/>
  <c r="R504" i="1"/>
  <c r="Q504" i="1"/>
  <c r="P504" i="1"/>
  <c r="O504" i="1"/>
  <c r="N504" i="1"/>
  <c r="M504" i="1"/>
  <c r="U504" i="1" s="1"/>
  <c r="L504" i="1"/>
  <c r="F504" i="1"/>
  <c r="G504" i="1" s="1"/>
  <c r="E504" i="1"/>
  <c r="C504" i="1"/>
  <c r="B504" i="1"/>
  <c r="A504" i="1"/>
  <c r="AP503" i="1"/>
  <c r="AO503" i="1"/>
  <c r="AL503" i="1"/>
  <c r="AK503" i="1"/>
  <c r="AE503" i="1"/>
  <c r="AC503" i="1"/>
  <c r="AB503" i="1"/>
  <c r="AA503" i="1"/>
  <c r="Y503" i="1"/>
  <c r="X503" i="1"/>
  <c r="T503" i="1"/>
  <c r="S503" i="1"/>
  <c r="R503" i="1"/>
  <c r="Q503" i="1"/>
  <c r="P503" i="1"/>
  <c r="O503" i="1"/>
  <c r="N503" i="1"/>
  <c r="M503" i="1"/>
  <c r="U503" i="1" s="1"/>
  <c r="K503" i="1"/>
  <c r="L503" i="1" s="1"/>
  <c r="F503" i="1"/>
  <c r="G503" i="1" s="1"/>
  <c r="E503" i="1"/>
  <c r="C503" i="1"/>
  <c r="B503" i="1"/>
  <c r="A503" i="1"/>
  <c r="AP502" i="1"/>
  <c r="AO502" i="1"/>
  <c r="AR502" i="1" s="1"/>
  <c r="AL502" i="1"/>
  <c r="AK502" i="1"/>
  <c r="AN502" i="1" s="1"/>
  <c r="AE502" i="1"/>
  <c r="AC502" i="1"/>
  <c r="AB502" i="1"/>
  <c r="AA502" i="1"/>
  <c r="Y502" i="1"/>
  <c r="X502" i="1"/>
  <c r="T502" i="1"/>
  <c r="S502" i="1"/>
  <c r="R502" i="1"/>
  <c r="Q502" i="1"/>
  <c r="P502" i="1"/>
  <c r="O502" i="1"/>
  <c r="N502" i="1"/>
  <c r="M502" i="1"/>
  <c r="U502" i="1" s="1"/>
  <c r="L502" i="1"/>
  <c r="F502" i="1"/>
  <c r="G502" i="1" s="1"/>
  <c r="E502" i="1"/>
  <c r="C502" i="1"/>
  <c r="B502" i="1"/>
  <c r="A502" i="1"/>
  <c r="AP501" i="1"/>
  <c r="AO501" i="1"/>
  <c r="AR501" i="1" s="1"/>
  <c r="AL501" i="1"/>
  <c r="AK501" i="1"/>
  <c r="AN501" i="1" s="1"/>
  <c r="AE501" i="1"/>
  <c r="AC501" i="1"/>
  <c r="AB501" i="1"/>
  <c r="AA501" i="1"/>
  <c r="Y501" i="1"/>
  <c r="X501" i="1"/>
  <c r="T501" i="1"/>
  <c r="S501" i="1"/>
  <c r="R501" i="1"/>
  <c r="Q501" i="1"/>
  <c r="P501" i="1"/>
  <c r="O501" i="1"/>
  <c r="N501" i="1"/>
  <c r="M501" i="1"/>
  <c r="U501" i="1" s="1"/>
  <c r="L501" i="1"/>
  <c r="F501" i="1"/>
  <c r="G501" i="1" s="1"/>
  <c r="E501" i="1"/>
  <c r="C501" i="1"/>
  <c r="B501" i="1"/>
  <c r="A501" i="1"/>
  <c r="AP500" i="1"/>
  <c r="AO500" i="1"/>
  <c r="AR500" i="1" s="1"/>
  <c r="AL500" i="1"/>
  <c r="AK500" i="1"/>
  <c r="AN500" i="1" s="1"/>
  <c r="AE500" i="1"/>
  <c r="AC500" i="1"/>
  <c r="AB500" i="1"/>
  <c r="AA500" i="1"/>
  <c r="Y500" i="1"/>
  <c r="X500" i="1"/>
  <c r="T500" i="1"/>
  <c r="S500" i="1"/>
  <c r="R500" i="1"/>
  <c r="Q500" i="1"/>
  <c r="P500" i="1"/>
  <c r="O500" i="1"/>
  <c r="N500" i="1"/>
  <c r="M500" i="1"/>
  <c r="U500" i="1" s="1"/>
  <c r="L500" i="1"/>
  <c r="F500" i="1"/>
  <c r="G500" i="1" s="1"/>
  <c r="E500" i="1"/>
  <c r="C500" i="1"/>
  <c r="B500" i="1"/>
  <c r="A500" i="1"/>
  <c r="AP499" i="1"/>
  <c r="AO499" i="1"/>
  <c r="AR499" i="1" s="1"/>
  <c r="AL499" i="1"/>
  <c r="AK499" i="1"/>
  <c r="AN499" i="1" s="1"/>
  <c r="AE499" i="1"/>
  <c r="AC499" i="1"/>
  <c r="AB499" i="1"/>
  <c r="AA499" i="1"/>
  <c r="Y499" i="1"/>
  <c r="X499" i="1"/>
  <c r="T499" i="1"/>
  <c r="S499" i="1"/>
  <c r="R499" i="1"/>
  <c r="Q499" i="1"/>
  <c r="P499" i="1"/>
  <c r="O499" i="1"/>
  <c r="N499" i="1"/>
  <c r="M499" i="1"/>
  <c r="U499" i="1" s="1"/>
  <c r="L499" i="1"/>
  <c r="F499" i="1"/>
  <c r="E499" i="1"/>
  <c r="C499" i="1"/>
  <c r="B499" i="1"/>
  <c r="AP498" i="1"/>
  <c r="AO498" i="1"/>
  <c r="AR498" i="1" s="1"/>
  <c r="AL498" i="1"/>
  <c r="AK498" i="1"/>
  <c r="AN498" i="1" s="1"/>
  <c r="AE498" i="1"/>
  <c r="AC498" i="1"/>
  <c r="AB498" i="1"/>
  <c r="AA498" i="1"/>
  <c r="Y498" i="1"/>
  <c r="X498" i="1"/>
  <c r="T498" i="1"/>
  <c r="S498" i="1"/>
  <c r="R498" i="1"/>
  <c r="Q498" i="1"/>
  <c r="P498" i="1"/>
  <c r="O498" i="1"/>
  <c r="N498" i="1"/>
  <c r="M498" i="1"/>
  <c r="U498" i="1" s="1"/>
  <c r="L498" i="1"/>
  <c r="F498" i="1"/>
  <c r="E498" i="1"/>
  <c r="C498" i="1"/>
  <c r="B498" i="1"/>
  <c r="AP497" i="1"/>
  <c r="AO497" i="1"/>
  <c r="AR497" i="1" s="1"/>
  <c r="AL497" i="1"/>
  <c r="AK497" i="1"/>
  <c r="AN497" i="1" s="1"/>
  <c r="AE497" i="1"/>
  <c r="AC497" i="1"/>
  <c r="AB497" i="1"/>
  <c r="AA497" i="1"/>
  <c r="Y497" i="1"/>
  <c r="X497" i="1"/>
  <c r="T497" i="1"/>
  <c r="S497" i="1"/>
  <c r="R497" i="1"/>
  <c r="Q497" i="1"/>
  <c r="P497" i="1"/>
  <c r="O497" i="1"/>
  <c r="N497" i="1"/>
  <c r="M497" i="1"/>
  <c r="U497" i="1" s="1"/>
  <c r="L497" i="1"/>
  <c r="F497" i="1"/>
  <c r="E497" i="1"/>
  <c r="C497" i="1"/>
  <c r="B497" i="1"/>
  <c r="AP496" i="1"/>
  <c r="AO496" i="1"/>
  <c r="AL496" i="1"/>
  <c r="AK496" i="1"/>
  <c r="AE496" i="1"/>
  <c r="AC496" i="1"/>
  <c r="AB496" i="1"/>
  <c r="AA496" i="1"/>
  <c r="Y496" i="1"/>
  <c r="X496" i="1"/>
  <c r="V496" i="1"/>
  <c r="T496" i="1"/>
  <c r="S496" i="1"/>
  <c r="R496" i="1"/>
  <c r="Q496" i="1"/>
  <c r="P496" i="1"/>
  <c r="O496" i="1"/>
  <c r="N496" i="1"/>
  <c r="M496" i="1"/>
  <c r="U496" i="1" s="1"/>
  <c r="K496" i="1"/>
  <c r="L496" i="1" s="1"/>
  <c r="F496" i="1"/>
  <c r="E496" i="1"/>
  <c r="C496" i="1"/>
  <c r="B496" i="1"/>
  <c r="AP495" i="1"/>
  <c r="AO495" i="1"/>
  <c r="AR495" i="1" s="1"/>
  <c r="AL495" i="1"/>
  <c r="AK495" i="1"/>
  <c r="AN495" i="1" s="1"/>
  <c r="AE495" i="1"/>
  <c r="AC495" i="1"/>
  <c r="AB495" i="1"/>
  <c r="AA495" i="1"/>
  <c r="Y495" i="1"/>
  <c r="X495" i="1"/>
  <c r="T495" i="1"/>
  <c r="S495" i="1"/>
  <c r="R495" i="1"/>
  <c r="Q495" i="1"/>
  <c r="P495" i="1"/>
  <c r="O495" i="1"/>
  <c r="N495" i="1"/>
  <c r="M495" i="1"/>
  <c r="U495" i="1" s="1"/>
  <c r="L495" i="1"/>
  <c r="F495" i="1"/>
  <c r="E495" i="1"/>
  <c r="C495" i="1"/>
  <c r="B495" i="1"/>
  <c r="AP494" i="1"/>
  <c r="AO494" i="1"/>
  <c r="AR494" i="1" s="1"/>
  <c r="AL494" i="1"/>
  <c r="AK494" i="1"/>
  <c r="AN494" i="1" s="1"/>
  <c r="AE494" i="1"/>
  <c r="AC494" i="1"/>
  <c r="AB494" i="1"/>
  <c r="AA494" i="1"/>
  <c r="Y494" i="1"/>
  <c r="X494" i="1"/>
  <c r="T494" i="1"/>
  <c r="S494" i="1"/>
  <c r="R494" i="1"/>
  <c r="Q494" i="1"/>
  <c r="P494" i="1"/>
  <c r="O494" i="1"/>
  <c r="N494" i="1"/>
  <c r="M494" i="1"/>
  <c r="U494" i="1" s="1"/>
  <c r="L494" i="1"/>
  <c r="F494" i="1"/>
  <c r="E494" i="1"/>
  <c r="C494" i="1"/>
  <c r="B494" i="1"/>
  <c r="AP493" i="1"/>
  <c r="AO493" i="1"/>
  <c r="AR493" i="1" s="1"/>
  <c r="AL493" i="1"/>
  <c r="AK493" i="1"/>
  <c r="AN493" i="1" s="1"/>
  <c r="AE493" i="1"/>
  <c r="AC493" i="1"/>
  <c r="AB493" i="1"/>
  <c r="AA493" i="1"/>
  <c r="Y493" i="1"/>
  <c r="X493" i="1"/>
  <c r="T493" i="1"/>
  <c r="S493" i="1"/>
  <c r="R493" i="1"/>
  <c r="Q493" i="1"/>
  <c r="P493" i="1"/>
  <c r="O493" i="1"/>
  <c r="N493" i="1"/>
  <c r="M493" i="1"/>
  <c r="U493" i="1" s="1"/>
  <c r="L493" i="1"/>
  <c r="F493" i="1"/>
  <c r="E493" i="1"/>
  <c r="C493" i="1"/>
  <c r="B493" i="1"/>
  <c r="AP492" i="1"/>
  <c r="AO492" i="1"/>
  <c r="AR492" i="1" s="1"/>
  <c r="AL492" i="1"/>
  <c r="AK492" i="1"/>
  <c r="AN492" i="1" s="1"/>
  <c r="AE492" i="1"/>
  <c r="AC492" i="1"/>
  <c r="AB492" i="1"/>
  <c r="AA492" i="1"/>
  <c r="Y492" i="1"/>
  <c r="X492" i="1"/>
  <c r="T492" i="1"/>
  <c r="S492" i="1"/>
  <c r="R492" i="1"/>
  <c r="Q492" i="1"/>
  <c r="P492" i="1"/>
  <c r="O492" i="1"/>
  <c r="N492" i="1"/>
  <c r="M492" i="1"/>
  <c r="U492" i="1" s="1"/>
  <c r="L492" i="1"/>
  <c r="F492" i="1"/>
  <c r="E492" i="1"/>
  <c r="C492" i="1"/>
  <c r="B492" i="1"/>
  <c r="AP491" i="1"/>
  <c r="AO491" i="1"/>
  <c r="AR491" i="1" s="1"/>
  <c r="AL491" i="1"/>
  <c r="AK491" i="1"/>
  <c r="AN491" i="1" s="1"/>
  <c r="AE491" i="1"/>
  <c r="AC491" i="1"/>
  <c r="AB491" i="1"/>
  <c r="AA491" i="1"/>
  <c r="Y491" i="1"/>
  <c r="Z491" i="1" s="1"/>
  <c r="X491" i="1"/>
  <c r="T491" i="1"/>
  <c r="S491" i="1"/>
  <c r="R491" i="1"/>
  <c r="Q491" i="1"/>
  <c r="P491" i="1"/>
  <c r="O491" i="1"/>
  <c r="N491" i="1"/>
  <c r="M491" i="1"/>
  <c r="U491" i="1" s="1"/>
  <c r="L491" i="1"/>
  <c r="F491" i="1"/>
  <c r="E491" i="1"/>
  <c r="C491" i="1"/>
  <c r="B491" i="1"/>
  <c r="AP490" i="1"/>
  <c r="AO490" i="1"/>
  <c r="AL490" i="1"/>
  <c r="AK490" i="1"/>
  <c r="AE490" i="1"/>
  <c r="AC490" i="1"/>
  <c r="AB490" i="1"/>
  <c r="AA490" i="1"/>
  <c r="Y490" i="1"/>
  <c r="X490" i="1"/>
  <c r="T490" i="1"/>
  <c r="S490" i="1"/>
  <c r="R490" i="1"/>
  <c r="Q490" i="1"/>
  <c r="P490" i="1"/>
  <c r="O490" i="1"/>
  <c r="N490" i="1"/>
  <c r="M490" i="1"/>
  <c r="U490" i="1" s="1"/>
  <c r="K490" i="1"/>
  <c r="L490" i="1" s="1"/>
  <c r="F490" i="1"/>
  <c r="E490" i="1"/>
  <c r="C490" i="1"/>
  <c r="B490" i="1"/>
  <c r="AP489" i="1"/>
  <c r="AO489" i="1"/>
  <c r="AR489" i="1" s="1"/>
  <c r="AL489" i="1"/>
  <c r="AK489" i="1"/>
  <c r="AN489" i="1" s="1"/>
  <c r="AE489" i="1"/>
  <c r="AC489" i="1"/>
  <c r="AB489" i="1"/>
  <c r="AA489" i="1"/>
  <c r="Y489" i="1"/>
  <c r="X489" i="1"/>
  <c r="T489" i="1"/>
  <c r="S489" i="1"/>
  <c r="R489" i="1"/>
  <c r="Q489" i="1"/>
  <c r="P489" i="1"/>
  <c r="O489" i="1"/>
  <c r="N489" i="1"/>
  <c r="M489" i="1"/>
  <c r="L489" i="1"/>
  <c r="F489" i="1"/>
  <c r="G489" i="1" s="1"/>
  <c r="E489" i="1"/>
  <c r="C489" i="1"/>
  <c r="B489" i="1"/>
  <c r="A489" i="1"/>
  <c r="AP488" i="1"/>
  <c r="AO488" i="1"/>
  <c r="AR488" i="1" s="1"/>
  <c r="AL488" i="1"/>
  <c r="AK488" i="1"/>
  <c r="AN488" i="1" s="1"/>
  <c r="AE488" i="1"/>
  <c r="AC488" i="1"/>
  <c r="AB488" i="1"/>
  <c r="AA488" i="1"/>
  <c r="Y488" i="1"/>
  <c r="X488" i="1"/>
  <c r="T488" i="1"/>
  <c r="S488" i="1"/>
  <c r="R488" i="1"/>
  <c r="Q488" i="1"/>
  <c r="P488" i="1"/>
  <c r="O488" i="1"/>
  <c r="N488" i="1"/>
  <c r="M488" i="1"/>
  <c r="U488" i="1" s="1"/>
  <c r="L488" i="1"/>
  <c r="F488" i="1"/>
  <c r="G488" i="1" s="1"/>
  <c r="E488" i="1"/>
  <c r="C488" i="1"/>
  <c r="B488" i="1"/>
  <c r="A488" i="1"/>
  <c r="AP487" i="1"/>
  <c r="AO487" i="1"/>
  <c r="AR487" i="1" s="1"/>
  <c r="AL487" i="1"/>
  <c r="AK487" i="1"/>
  <c r="AN487" i="1" s="1"/>
  <c r="AE487" i="1"/>
  <c r="AC487" i="1"/>
  <c r="AB487" i="1"/>
  <c r="AA487" i="1"/>
  <c r="Y487" i="1"/>
  <c r="X487" i="1"/>
  <c r="T487" i="1"/>
  <c r="S487" i="1"/>
  <c r="R487" i="1"/>
  <c r="Q487" i="1"/>
  <c r="P487" i="1"/>
  <c r="O487" i="1"/>
  <c r="N487" i="1"/>
  <c r="M487" i="1"/>
  <c r="U487" i="1" s="1"/>
  <c r="L487" i="1"/>
  <c r="F487" i="1"/>
  <c r="G487" i="1" s="1"/>
  <c r="E487" i="1"/>
  <c r="C487" i="1"/>
  <c r="B487" i="1"/>
  <c r="A487" i="1"/>
  <c r="AP486" i="1"/>
  <c r="AO486" i="1"/>
  <c r="AR486" i="1" s="1"/>
  <c r="AL486" i="1"/>
  <c r="AK486" i="1"/>
  <c r="AN486" i="1" s="1"/>
  <c r="AE486" i="1"/>
  <c r="AC486" i="1"/>
  <c r="AB486" i="1"/>
  <c r="AA486" i="1"/>
  <c r="Y486" i="1"/>
  <c r="X486" i="1"/>
  <c r="T486" i="1"/>
  <c r="S486" i="1"/>
  <c r="R486" i="1"/>
  <c r="Q486" i="1"/>
  <c r="P486" i="1"/>
  <c r="O486" i="1"/>
  <c r="N486" i="1"/>
  <c r="M486" i="1"/>
  <c r="U486" i="1" s="1"/>
  <c r="L486" i="1"/>
  <c r="F486" i="1"/>
  <c r="G486" i="1" s="1"/>
  <c r="E486" i="1"/>
  <c r="C486" i="1"/>
  <c r="B486" i="1"/>
  <c r="A486" i="1"/>
  <c r="AP485" i="1"/>
  <c r="AO485" i="1"/>
  <c r="AL485" i="1"/>
  <c r="AK485" i="1"/>
  <c r="AE485" i="1"/>
  <c r="AC485" i="1"/>
  <c r="AB485" i="1"/>
  <c r="AA485" i="1"/>
  <c r="Y485" i="1"/>
  <c r="Z485" i="1" s="1"/>
  <c r="X485" i="1"/>
  <c r="T485" i="1"/>
  <c r="S485" i="1"/>
  <c r="R485" i="1"/>
  <c r="Q485" i="1"/>
  <c r="P485" i="1"/>
  <c r="O485" i="1"/>
  <c r="N485" i="1"/>
  <c r="M485" i="1"/>
  <c r="U485" i="1" s="1"/>
  <c r="K485" i="1"/>
  <c r="L485" i="1" s="1"/>
  <c r="F485" i="1"/>
  <c r="G485" i="1" s="1"/>
  <c r="E485" i="1"/>
  <c r="C485" i="1"/>
  <c r="B485" i="1"/>
  <c r="A485" i="1"/>
  <c r="AP484" i="1"/>
  <c r="AO484" i="1"/>
  <c r="AR484" i="1" s="1"/>
  <c r="AL484" i="1"/>
  <c r="AK484" i="1"/>
  <c r="AN484" i="1" s="1"/>
  <c r="AE484" i="1"/>
  <c r="AC484" i="1"/>
  <c r="AB484" i="1"/>
  <c r="AA484" i="1"/>
  <c r="Y484" i="1"/>
  <c r="Z484" i="1" s="1"/>
  <c r="X484" i="1"/>
  <c r="T484" i="1"/>
  <c r="S484" i="1"/>
  <c r="R484" i="1"/>
  <c r="Q484" i="1"/>
  <c r="P484" i="1"/>
  <c r="O484" i="1"/>
  <c r="N484" i="1"/>
  <c r="M484" i="1"/>
  <c r="U484" i="1" s="1"/>
  <c r="L484" i="1"/>
  <c r="F484" i="1"/>
  <c r="G484" i="1" s="1"/>
  <c r="E484" i="1"/>
  <c r="C484" i="1"/>
  <c r="B484" i="1"/>
  <c r="A484" i="1"/>
  <c r="AP483" i="1"/>
  <c r="AO483" i="1"/>
  <c r="AR483" i="1" s="1"/>
  <c r="AL483" i="1"/>
  <c r="AK483" i="1"/>
  <c r="AN483" i="1" s="1"/>
  <c r="AE483" i="1"/>
  <c r="AC483" i="1"/>
  <c r="AB483" i="1"/>
  <c r="AA483" i="1"/>
  <c r="Y483" i="1"/>
  <c r="Z483" i="1" s="1"/>
  <c r="X483" i="1"/>
  <c r="T483" i="1"/>
  <c r="S483" i="1"/>
  <c r="R483" i="1"/>
  <c r="Q483" i="1"/>
  <c r="P483" i="1"/>
  <c r="O483" i="1"/>
  <c r="N483" i="1"/>
  <c r="M483" i="1"/>
  <c r="U483" i="1" s="1"/>
  <c r="L483" i="1"/>
  <c r="F483" i="1"/>
  <c r="E483" i="1"/>
  <c r="C483" i="1"/>
  <c r="B483" i="1"/>
  <c r="AP482" i="1"/>
  <c r="AO482" i="1"/>
  <c r="AR482" i="1" s="1"/>
  <c r="AL482" i="1"/>
  <c r="AK482" i="1"/>
  <c r="AN482" i="1" s="1"/>
  <c r="AE482" i="1"/>
  <c r="AC482" i="1"/>
  <c r="AB482" i="1"/>
  <c r="AA482" i="1"/>
  <c r="Y482" i="1"/>
  <c r="Z482" i="1" s="1"/>
  <c r="X482" i="1"/>
  <c r="T482" i="1"/>
  <c r="S482" i="1"/>
  <c r="R482" i="1"/>
  <c r="Q482" i="1"/>
  <c r="P482" i="1"/>
  <c r="O482" i="1"/>
  <c r="N482" i="1"/>
  <c r="M482" i="1"/>
  <c r="U482" i="1" s="1"/>
  <c r="L482" i="1"/>
  <c r="F482" i="1"/>
  <c r="E482" i="1"/>
  <c r="C482" i="1"/>
  <c r="B482" i="1"/>
  <c r="AP481" i="1"/>
  <c r="AO481" i="1"/>
  <c r="AR481" i="1" s="1"/>
  <c r="AL481" i="1"/>
  <c r="AK481" i="1"/>
  <c r="AN481" i="1" s="1"/>
  <c r="AE481" i="1"/>
  <c r="AC481" i="1"/>
  <c r="AB481" i="1"/>
  <c r="AA481" i="1"/>
  <c r="Y481" i="1"/>
  <c r="Z481" i="1" s="1"/>
  <c r="X481" i="1"/>
  <c r="T481" i="1"/>
  <c r="S481" i="1"/>
  <c r="R481" i="1"/>
  <c r="Q481" i="1"/>
  <c r="P481" i="1"/>
  <c r="O481" i="1"/>
  <c r="N481" i="1"/>
  <c r="M481" i="1"/>
  <c r="L481" i="1"/>
  <c r="F481" i="1"/>
  <c r="G481" i="1" s="1"/>
  <c r="E481" i="1"/>
  <c r="C481" i="1"/>
  <c r="B481" i="1"/>
  <c r="A481" i="1"/>
  <c r="AP480" i="1"/>
  <c r="AO480" i="1"/>
  <c r="AR480" i="1" s="1"/>
  <c r="AL480" i="1"/>
  <c r="AK480" i="1"/>
  <c r="AN480" i="1" s="1"/>
  <c r="AE480" i="1"/>
  <c r="AC480" i="1"/>
  <c r="AB480" i="1"/>
  <c r="AA480" i="1"/>
  <c r="Y480" i="1"/>
  <c r="X480" i="1"/>
  <c r="T480" i="1"/>
  <c r="S480" i="1"/>
  <c r="R480" i="1"/>
  <c r="Q480" i="1"/>
  <c r="P480" i="1"/>
  <c r="O480" i="1"/>
  <c r="N480" i="1"/>
  <c r="M480" i="1"/>
  <c r="U480" i="1" s="1"/>
  <c r="L480" i="1"/>
  <c r="F480" i="1"/>
  <c r="G480" i="1" s="1"/>
  <c r="E480" i="1"/>
  <c r="C480" i="1"/>
  <c r="B480" i="1"/>
  <c r="A480" i="1"/>
  <c r="AP479" i="1"/>
  <c r="AO479" i="1"/>
  <c r="AR479" i="1" s="1"/>
  <c r="AL479" i="1"/>
  <c r="AK479" i="1"/>
  <c r="AN479" i="1" s="1"/>
  <c r="AE479" i="1"/>
  <c r="AC479" i="1"/>
  <c r="AB479" i="1"/>
  <c r="AA479" i="1"/>
  <c r="Y479" i="1"/>
  <c r="X479" i="1"/>
  <c r="T479" i="1"/>
  <c r="S479" i="1"/>
  <c r="R479" i="1"/>
  <c r="Q479" i="1"/>
  <c r="P479" i="1"/>
  <c r="O479" i="1"/>
  <c r="N479" i="1"/>
  <c r="M479" i="1"/>
  <c r="U479" i="1" s="1"/>
  <c r="L479" i="1"/>
  <c r="F479" i="1"/>
  <c r="G479" i="1" s="1"/>
  <c r="E479" i="1"/>
  <c r="C479" i="1"/>
  <c r="B479" i="1"/>
  <c r="A479" i="1"/>
  <c r="AP478" i="1"/>
  <c r="AO478" i="1"/>
  <c r="AR478" i="1" s="1"/>
  <c r="AL478" i="1"/>
  <c r="AK478" i="1"/>
  <c r="AN478" i="1" s="1"/>
  <c r="AE478" i="1"/>
  <c r="AC478" i="1"/>
  <c r="AB478" i="1"/>
  <c r="AA478" i="1"/>
  <c r="Y478" i="1"/>
  <c r="X478" i="1"/>
  <c r="T478" i="1"/>
  <c r="S478" i="1"/>
  <c r="R478" i="1"/>
  <c r="Q478" i="1"/>
  <c r="P478" i="1"/>
  <c r="O478" i="1"/>
  <c r="N478" i="1"/>
  <c r="M478" i="1"/>
  <c r="U478" i="1" s="1"/>
  <c r="L478" i="1"/>
  <c r="F478" i="1"/>
  <c r="G478" i="1" s="1"/>
  <c r="E478" i="1"/>
  <c r="C478" i="1"/>
  <c r="B478" i="1"/>
  <c r="A478" i="1"/>
  <c r="AP477" i="1"/>
  <c r="AO477" i="1"/>
  <c r="AL477" i="1"/>
  <c r="AK477" i="1"/>
  <c r="AE477" i="1"/>
  <c r="AC477" i="1"/>
  <c r="AB477" i="1"/>
  <c r="AA477" i="1"/>
  <c r="Y477" i="1"/>
  <c r="X477" i="1"/>
  <c r="T477" i="1"/>
  <c r="S477" i="1"/>
  <c r="R477" i="1"/>
  <c r="Q477" i="1"/>
  <c r="P477" i="1"/>
  <c r="O477" i="1"/>
  <c r="N477" i="1"/>
  <c r="M477" i="1"/>
  <c r="U477" i="1" s="1"/>
  <c r="K477" i="1"/>
  <c r="L477" i="1" s="1"/>
  <c r="F477" i="1"/>
  <c r="G477" i="1" s="1"/>
  <c r="E477" i="1"/>
  <c r="C477" i="1"/>
  <c r="B477" i="1"/>
  <c r="A477" i="1"/>
  <c r="AP476" i="1"/>
  <c r="AO476" i="1"/>
  <c r="AR476" i="1" s="1"/>
  <c r="AL476" i="1"/>
  <c r="AK476" i="1"/>
  <c r="AN476" i="1" s="1"/>
  <c r="AE476" i="1"/>
  <c r="AC476" i="1"/>
  <c r="AB476" i="1"/>
  <c r="AA476" i="1"/>
  <c r="Y476" i="1"/>
  <c r="X476" i="1"/>
  <c r="T476" i="1"/>
  <c r="S476" i="1"/>
  <c r="R476" i="1"/>
  <c r="Q476" i="1"/>
  <c r="P476" i="1"/>
  <c r="O476" i="1"/>
  <c r="N476" i="1"/>
  <c r="M476" i="1"/>
  <c r="U476" i="1" s="1"/>
  <c r="L476" i="1"/>
  <c r="F476" i="1"/>
  <c r="G476" i="1" s="1"/>
  <c r="E476" i="1"/>
  <c r="C476" i="1"/>
  <c r="B476" i="1"/>
  <c r="A476" i="1"/>
  <c r="AP475" i="1"/>
  <c r="AO475" i="1"/>
  <c r="AR475" i="1" s="1"/>
  <c r="AL475" i="1"/>
  <c r="AK475" i="1"/>
  <c r="AN475" i="1" s="1"/>
  <c r="AE475" i="1"/>
  <c r="AC475" i="1"/>
  <c r="AB475" i="1"/>
  <c r="AA475" i="1"/>
  <c r="Y475" i="1"/>
  <c r="X475" i="1"/>
  <c r="T475" i="1"/>
  <c r="S475" i="1"/>
  <c r="R475" i="1"/>
  <c r="Q475" i="1"/>
  <c r="P475" i="1"/>
  <c r="O475" i="1"/>
  <c r="N475" i="1"/>
  <c r="M475" i="1"/>
  <c r="U475" i="1" s="1"/>
  <c r="L475" i="1"/>
  <c r="F475" i="1"/>
  <c r="G475" i="1" s="1"/>
  <c r="E475" i="1"/>
  <c r="C475" i="1"/>
  <c r="B475" i="1"/>
  <c r="A475" i="1"/>
  <c r="AP474" i="1"/>
  <c r="AO474" i="1"/>
  <c r="AR474" i="1" s="1"/>
  <c r="AL474" i="1"/>
  <c r="AK474" i="1"/>
  <c r="AN474" i="1" s="1"/>
  <c r="AE474" i="1"/>
  <c r="AC474" i="1"/>
  <c r="AB474" i="1"/>
  <c r="AA474" i="1"/>
  <c r="Y474" i="1"/>
  <c r="X474" i="1"/>
  <c r="T474" i="1"/>
  <c r="S474" i="1"/>
  <c r="R474" i="1"/>
  <c r="Q474" i="1"/>
  <c r="P474" i="1"/>
  <c r="O474" i="1"/>
  <c r="N474" i="1"/>
  <c r="M474" i="1"/>
  <c r="U474" i="1" s="1"/>
  <c r="L474" i="1"/>
  <c r="F474" i="1"/>
  <c r="G474" i="1" s="1"/>
  <c r="E474" i="1"/>
  <c r="C474" i="1"/>
  <c r="B474" i="1"/>
  <c r="A474" i="1"/>
  <c r="AQ473" i="1"/>
  <c r="AR473" i="1" s="1"/>
  <c r="AP473" i="1"/>
  <c r="AO473" i="1"/>
  <c r="AM473" i="1"/>
  <c r="AN473" i="1" s="1"/>
  <c r="AL473" i="1"/>
  <c r="AK473" i="1"/>
  <c r="AE473" i="1"/>
  <c r="AC473" i="1"/>
  <c r="AB473" i="1"/>
  <c r="AA473" i="1"/>
  <c r="Y473" i="1"/>
  <c r="X473" i="1"/>
  <c r="T473" i="1"/>
  <c r="S473" i="1"/>
  <c r="R473" i="1"/>
  <c r="Q473" i="1"/>
  <c r="P473" i="1"/>
  <c r="O473" i="1"/>
  <c r="N473" i="1"/>
  <c r="M473" i="1"/>
  <c r="U473" i="1" s="1"/>
  <c r="L473" i="1"/>
  <c r="F473" i="1"/>
  <c r="G473" i="1" s="1"/>
  <c r="E473" i="1"/>
  <c r="C473" i="1"/>
  <c r="B473" i="1"/>
  <c r="A473" i="1"/>
  <c r="AP472" i="1"/>
  <c r="AO472" i="1"/>
  <c r="AL472" i="1"/>
  <c r="AK472" i="1"/>
  <c r="AE472" i="1"/>
  <c r="AC472" i="1"/>
  <c r="AB472" i="1"/>
  <c r="AA472" i="1"/>
  <c r="Y472" i="1"/>
  <c r="X472" i="1"/>
  <c r="T472" i="1"/>
  <c r="S472" i="1"/>
  <c r="R472" i="1"/>
  <c r="Q472" i="1"/>
  <c r="P472" i="1"/>
  <c r="O472" i="1"/>
  <c r="N472" i="1"/>
  <c r="M472" i="1"/>
  <c r="U472" i="1" s="1"/>
  <c r="K472" i="1"/>
  <c r="L472" i="1" s="1"/>
  <c r="F472" i="1"/>
  <c r="G472" i="1" s="1"/>
  <c r="E472" i="1"/>
  <c r="C472" i="1"/>
  <c r="B472" i="1"/>
  <c r="A472" i="1"/>
  <c r="AP471" i="1"/>
  <c r="AO471" i="1"/>
  <c r="AR471" i="1" s="1"/>
  <c r="AL471" i="1"/>
  <c r="AK471" i="1"/>
  <c r="AN471" i="1" s="1"/>
  <c r="AE471" i="1"/>
  <c r="AC471" i="1"/>
  <c r="AB471" i="1"/>
  <c r="AA471" i="1"/>
  <c r="Y471" i="1"/>
  <c r="X471" i="1"/>
  <c r="T471" i="1"/>
  <c r="S471" i="1"/>
  <c r="R471" i="1"/>
  <c r="Q471" i="1"/>
  <c r="P471" i="1"/>
  <c r="O471" i="1"/>
  <c r="N471" i="1"/>
  <c r="M471" i="1"/>
  <c r="U471" i="1" s="1"/>
  <c r="L471" i="1"/>
  <c r="F471" i="1"/>
  <c r="G471" i="1" s="1"/>
  <c r="E471" i="1"/>
  <c r="C471" i="1"/>
  <c r="B471" i="1"/>
  <c r="A471" i="1"/>
  <c r="AP470" i="1"/>
  <c r="AO470" i="1"/>
  <c r="AR470" i="1" s="1"/>
  <c r="AL470" i="1"/>
  <c r="AK470" i="1"/>
  <c r="AN470" i="1" s="1"/>
  <c r="AE470" i="1"/>
  <c r="AC470" i="1"/>
  <c r="AB470" i="1"/>
  <c r="AA470" i="1"/>
  <c r="Y470" i="1"/>
  <c r="X470" i="1"/>
  <c r="V470" i="1"/>
  <c r="T470" i="1"/>
  <c r="S470" i="1"/>
  <c r="R470" i="1"/>
  <c r="Q470" i="1"/>
  <c r="P470" i="1"/>
  <c r="O470" i="1"/>
  <c r="N470" i="1"/>
  <c r="M470" i="1"/>
  <c r="U470" i="1" s="1"/>
  <c r="L470" i="1"/>
  <c r="F470" i="1"/>
  <c r="G470" i="1" s="1"/>
  <c r="E470" i="1"/>
  <c r="C470" i="1"/>
  <c r="B470" i="1"/>
  <c r="A470" i="1"/>
  <c r="AP469" i="1"/>
  <c r="AO469" i="1"/>
  <c r="AL469" i="1"/>
  <c r="AK469" i="1"/>
  <c r="AE469" i="1"/>
  <c r="AC469" i="1"/>
  <c r="AB469" i="1"/>
  <c r="AA469" i="1"/>
  <c r="Y469" i="1"/>
  <c r="X469" i="1"/>
  <c r="T469" i="1"/>
  <c r="S469" i="1"/>
  <c r="R469" i="1"/>
  <c r="Q469" i="1"/>
  <c r="P469" i="1"/>
  <c r="O469" i="1"/>
  <c r="N469" i="1"/>
  <c r="M469" i="1"/>
  <c r="U469" i="1" s="1"/>
  <c r="K469" i="1"/>
  <c r="L469" i="1" s="1"/>
  <c r="F469" i="1"/>
  <c r="G469" i="1" s="1"/>
  <c r="E469" i="1"/>
  <c r="C469" i="1"/>
  <c r="B469" i="1"/>
  <c r="A469" i="1"/>
  <c r="AP468" i="1"/>
  <c r="AO468" i="1"/>
  <c r="AR468" i="1" s="1"/>
  <c r="AL468" i="1"/>
  <c r="AK468" i="1"/>
  <c r="AN468" i="1" s="1"/>
  <c r="AE468" i="1"/>
  <c r="AC468" i="1"/>
  <c r="AB468" i="1"/>
  <c r="AA468" i="1"/>
  <c r="Y468" i="1"/>
  <c r="X468" i="1"/>
  <c r="T468" i="1"/>
  <c r="S468" i="1"/>
  <c r="R468" i="1"/>
  <c r="Q468" i="1"/>
  <c r="P468" i="1"/>
  <c r="O468" i="1"/>
  <c r="N468" i="1"/>
  <c r="M468" i="1"/>
  <c r="U468" i="1" s="1"/>
  <c r="L468" i="1"/>
  <c r="F468" i="1"/>
  <c r="G468" i="1" s="1"/>
  <c r="E468" i="1"/>
  <c r="C468" i="1"/>
  <c r="B468" i="1"/>
  <c r="A468" i="1"/>
  <c r="AQ467" i="1"/>
  <c r="AR467" i="1" s="1"/>
  <c r="AP467" i="1"/>
  <c r="AO467" i="1"/>
  <c r="AM467" i="1"/>
  <c r="AN467" i="1" s="1"/>
  <c r="AL467" i="1"/>
  <c r="AK467" i="1"/>
  <c r="AE467" i="1"/>
  <c r="AC467" i="1"/>
  <c r="AB467" i="1"/>
  <c r="AA467" i="1"/>
  <c r="Y467" i="1"/>
  <c r="X467" i="1"/>
  <c r="T467" i="1"/>
  <c r="S467" i="1"/>
  <c r="R467" i="1"/>
  <c r="Q467" i="1"/>
  <c r="P467" i="1"/>
  <c r="O467" i="1"/>
  <c r="N467" i="1"/>
  <c r="M467" i="1"/>
  <c r="U467" i="1" s="1"/>
  <c r="L467" i="1"/>
  <c r="F467" i="1"/>
  <c r="G467" i="1" s="1"/>
  <c r="E467" i="1"/>
  <c r="C467" i="1"/>
  <c r="B467" i="1"/>
  <c r="A467" i="1"/>
  <c r="AP466" i="1"/>
  <c r="AO466" i="1"/>
  <c r="AL466" i="1"/>
  <c r="AK466" i="1"/>
  <c r="AE466" i="1"/>
  <c r="AC466" i="1"/>
  <c r="AB466" i="1"/>
  <c r="AA466" i="1"/>
  <c r="Y466" i="1"/>
  <c r="X466" i="1"/>
  <c r="T466" i="1"/>
  <c r="S466" i="1"/>
  <c r="R466" i="1"/>
  <c r="Q466" i="1"/>
  <c r="P466" i="1"/>
  <c r="O466" i="1"/>
  <c r="N466" i="1"/>
  <c r="M466" i="1"/>
  <c r="U466" i="1" s="1"/>
  <c r="K466" i="1"/>
  <c r="L466" i="1" s="1"/>
  <c r="F466" i="1"/>
  <c r="G466" i="1" s="1"/>
  <c r="E466" i="1"/>
  <c r="C466" i="1"/>
  <c r="B466" i="1"/>
  <c r="A466" i="1"/>
  <c r="AP465" i="1"/>
  <c r="AO465" i="1"/>
  <c r="AR465" i="1" s="1"/>
  <c r="AL465" i="1"/>
  <c r="AK465" i="1"/>
  <c r="AN465" i="1" s="1"/>
  <c r="AE465" i="1"/>
  <c r="AC465" i="1"/>
  <c r="AB465" i="1"/>
  <c r="AA465" i="1"/>
  <c r="Y465" i="1"/>
  <c r="X465" i="1"/>
  <c r="T465" i="1"/>
  <c r="S465" i="1"/>
  <c r="R465" i="1"/>
  <c r="Q465" i="1"/>
  <c r="P465" i="1"/>
  <c r="O465" i="1"/>
  <c r="N465" i="1"/>
  <c r="M465" i="1"/>
  <c r="U465" i="1" s="1"/>
  <c r="L465" i="1"/>
  <c r="F465" i="1"/>
  <c r="G465" i="1" s="1"/>
  <c r="E465" i="1"/>
  <c r="C465" i="1"/>
  <c r="B465" i="1"/>
  <c r="A465" i="1"/>
  <c r="AP464" i="1"/>
  <c r="AO464" i="1"/>
  <c r="AL464" i="1"/>
  <c r="AK464" i="1"/>
  <c r="AE464" i="1"/>
  <c r="AC464" i="1"/>
  <c r="AB464" i="1"/>
  <c r="AA464" i="1"/>
  <c r="Y464" i="1"/>
  <c r="X464" i="1"/>
  <c r="T464" i="1"/>
  <c r="S464" i="1"/>
  <c r="R464" i="1"/>
  <c r="Q464" i="1"/>
  <c r="P464" i="1"/>
  <c r="O464" i="1"/>
  <c r="N464" i="1"/>
  <c r="M464" i="1"/>
  <c r="U464" i="1" s="1"/>
  <c r="K464" i="1"/>
  <c r="L464" i="1" s="1"/>
  <c r="F464" i="1"/>
  <c r="G464" i="1" s="1"/>
  <c r="E464" i="1"/>
  <c r="C464" i="1"/>
  <c r="B464" i="1"/>
  <c r="A464" i="1"/>
  <c r="AP463" i="1"/>
  <c r="AO463" i="1"/>
  <c r="AR463" i="1" s="1"/>
  <c r="AL463" i="1"/>
  <c r="AK463" i="1"/>
  <c r="AN463" i="1" s="1"/>
  <c r="AE463" i="1"/>
  <c r="AC463" i="1"/>
  <c r="AB463" i="1"/>
  <c r="AA463" i="1"/>
  <c r="Y463" i="1"/>
  <c r="X463" i="1"/>
  <c r="T463" i="1"/>
  <c r="S463" i="1"/>
  <c r="R463" i="1"/>
  <c r="Q463" i="1"/>
  <c r="P463" i="1"/>
  <c r="O463" i="1"/>
  <c r="N463" i="1"/>
  <c r="M463" i="1"/>
  <c r="U463" i="1" s="1"/>
  <c r="L463" i="1"/>
  <c r="F463" i="1"/>
  <c r="G463" i="1" s="1"/>
  <c r="E463" i="1"/>
  <c r="C463" i="1"/>
  <c r="B463" i="1"/>
  <c r="A463" i="1"/>
  <c r="AP462" i="1"/>
  <c r="AO462" i="1"/>
  <c r="AR462" i="1" s="1"/>
  <c r="AL462" i="1"/>
  <c r="AK462" i="1"/>
  <c r="AN462" i="1" s="1"/>
  <c r="AE462" i="1"/>
  <c r="AC462" i="1"/>
  <c r="AB462" i="1"/>
  <c r="AA462" i="1"/>
  <c r="Y462" i="1"/>
  <c r="X462" i="1"/>
  <c r="T462" i="1"/>
  <c r="S462" i="1"/>
  <c r="R462" i="1"/>
  <c r="Q462" i="1"/>
  <c r="P462" i="1"/>
  <c r="O462" i="1"/>
  <c r="N462" i="1"/>
  <c r="M462" i="1"/>
  <c r="U462" i="1" s="1"/>
  <c r="L462" i="1"/>
  <c r="F462" i="1"/>
  <c r="G462" i="1" s="1"/>
  <c r="E462" i="1"/>
  <c r="C462" i="1"/>
  <c r="B462" i="1"/>
  <c r="A462" i="1"/>
  <c r="AQ461" i="1"/>
  <c r="AR461" i="1" s="1"/>
  <c r="AP461" i="1"/>
  <c r="AO461" i="1"/>
  <c r="AM461" i="1"/>
  <c r="AN461" i="1" s="1"/>
  <c r="AL461" i="1"/>
  <c r="AK461" i="1"/>
  <c r="AE461" i="1"/>
  <c r="AC461" i="1"/>
  <c r="AB461" i="1"/>
  <c r="AA461" i="1"/>
  <c r="Y461" i="1"/>
  <c r="X461" i="1"/>
  <c r="T461" i="1"/>
  <c r="S461" i="1"/>
  <c r="R461" i="1"/>
  <c r="Q461" i="1"/>
  <c r="P461" i="1"/>
  <c r="O461" i="1"/>
  <c r="N461" i="1"/>
  <c r="M461" i="1"/>
  <c r="U461" i="1" s="1"/>
  <c r="L461" i="1"/>
  <c r="F461" i="1"/>
  <c r="G461" i="1" s="1"/>
  <c r="E461" i="1"/>
  <c r="C461" i="1"/>
  <c r="B461" i="1"/>
  <c r="A461" i="1"/>
  <c r="AP460" i="1"/>
  <c r="AO460" i="1"/>
  <c r="AL460" i="1"/>
  <c r="AK460" i="1"/>
  <c r="AE460" i="1"/>
  <c r="AC460" i="1"/>
  <c r="AB460" i="1"/>
  <c r="AA460" i="1"/>
  <c r="Y460" i="1"/>
  <c r="X460" i="1"/>
  <c r="T460" i="1"/>
  <c r="S460" i="1"/>
  <c r="R460" i="1"/>
  <c r="Q460" i="1"/>
  <c r="P460" i="1"/>
  <c r="O460" i="1"/>
  <c r="N460" i="1"/>
  <c r="M460" i="1"/>
  <c r="U460" i="1" s="1"/>
  <c r="K460" i="1"/>
  <c r="L460" i="1" s="1"/>
  <c r="F460" i="1"/>
  <c r="G460" i="1" s="1"/>
  <c r="E460" i="1"/>
  <c r="C460" i="1"/>
  <c r="B460" i="1"/>
  <c r="A460" i="1"/>
  <c r="AP459" i="1"/>
  <c r="AO459" i="1"/>
  <c r="AR459" i="1" s="1"/>
  <c r="AL459" i="1"/>
  <c r="AK459" i="1"/>
  <c r="AN459" i="1" s="1"/>
  <c r="AE459" i="1"/>
  <c r="AC459" i="1"/>
  <c r="AB459" i="1"/>
  <c r="AA459" i="1"/>
  <c r="Y459" i="1"/>
  <c r="X459" i="1"/>
  <c r="T459" i="1"/>
  <c r="S459" i="1"/>
  <c r="R459" i="1"/>
  <c r="Q459" i="1"/>
  <c r="P459" i="1"/>
  <c r="O459" i="1"/>
  <c r="N459" i="1"/>
  <c r="M459" i="1"/>
  <c r="U459" i="1" s="1"/>
  <c r="L459" i="1"/>
  <c r="F459" i="1"/>
  <c r="G459" i="1" s="1"/>
  <c r="E459" i="1"/>
  <c r="C459" i="1"/>
  <c r="B459" i="1"/>
  <c r="A459" i="1"/>
  <c r="AP458" i="1"/>
  <c r="AO458" i="1"/>
  <c r="AR458" i="1" s="1"/>
  <c r="AL458" i="1"/>
  <c r="AK458" i="1"/>
  <c r="AN458" i="1" s="1"/>
  <c r="AE458" i="1"/>
  <c r="AC458" i="1"/>
  <c r="AB458" i="1"/>
  <c r="AA458" i="1"/>
  <c r="Y458" i="1"/>
  <c r="X458" i="1"/>
  <c r="T458" i="1"/>
  <c r="S458" i="1"/>
  <c r="R458" i="1"/>
  <c r="Q458" i="1"/>
  <c r="P458" i="1"/>
  <c r="O458" i="1"/>
  <c r="N458" i="1"/>
  <c r="M458" i="1"/>
  <c r="U458" i="1" s="1"/>
  <c r="L458" i="1"/>
  <c r="F458" i="1"/>
  <c r="G458" i="1" s="1"/>
  <c r="E458" i="1"/>
  <c r="C458" i="1"/>
  <c r="B458" i="1"/>
  <c r="A458" i="1"/>
  <c r="AP457" i="1"/>
  <c r="AO457" i="1"/>
  <c r="AR457" i="1" s="1"/>
  <c r="AL457" i="1"/>
  <c r="AK457" i="1"/>
  <c r="AN457" i="1" s="1"/>
  <c r="AE457" i="1"/>
  <c r="AC457" i="1"/>
  <c r="AB457" i="1"/>
  <c r="AA457" i="1"/>
  <c r="Y457" i="1"/>
  <c r="X457" i="1"/>
  <c r="T457" i="1"/>
  <c r="S457" i="1"/>
  <c r="R457" i="1"/>
  <c r="Q457" i="1"/>
  <c r="P457" i="1"/>
  <c r="O457" i="1"/>
  <c r="N457" i="1"/>
  <c r="M457" i="1"/>
  <c r="U457" i="1" s="1"/>
  <c r="L457" i="1"/>
  <c r="F457" i="1"/>
  <c r="G457" i="1" s="1"/>
  <c r="E457" i="1"/>
  <c r="C457" i="1"/>
  <c r="B457" i="1"/>
  <c r="A457" i="1"/>
  <c r="AP456" i="1"/>
  <c r="AO456" i="1"/>
  <c r="AL456" i="1"/>
  <c r="AK456" i="1"/>
  <c r="AE456" i="1"/>
  <c r="AC456" i="1"/>
  <c r="AB456" i="1"/>
  <c r="AA456" i="1"/>
  <c r="Y456" i="1"/>
  <c r="X456" i="1"/>
  <c r="T456" i="1"/>
  <c r="S456" i="1"/>
  <c r="R456" i="1"/>
  <c r="Q456" i="1"/>
  <c r="P456" i="1"/>
  <c r="O456" i="1"/>
  <c r="N456" i="1"/>
  <c r="M456" i="1"/>
  <c r="U456" i="1" s="1"/>
  <c r="K456" i="1"/>
  <c r="L456" i="1" s="1"/>
  <c r="F456" i="1"/>
  <c r="G456" i="1" s="1"/>
  <c r="E456" i="1"/>
  <c r="C456" i="1"/>
  <c r="B456" i="1"/>
  <c r="A456" i="1"/>
  <c r="AP455" i="1"/>
  <c r="AO455" i="1"/>
  <c r="AR455" i="1" s="1"/>
  <c r="AL455" i="1"/>
  <c r="AK455" i="1"/>
  <c r="AN455" i="1" s="1"/>
  <c r="AE455" i="1"/>
  <c r="AC455" i="1"/>
  <c r="AB455" i="1"/>
  <c r="AA455" i="1"/>
  <c r="Y455" i="1"/>
  <c r="X455" i="1"/>
  <c r="T455" i="1"/>
  <c r="S455" i="1"/>
  <c r="R455" i="1"/>
  <c r="Q455" i="1"/>
  <c r="P455" i="1"/>
  <c r="O455" i="1"/>
  <c r="N455" i="1"/>
  <c r="M455" i="1"/>
  <c r="U455" i="1" s="1"/>
  <c r="L455" i="1"/>
  <c r="F455" i="1"/>
  <c r="G455" i="1" s="1"/>
  <c r="E455" i="1"/>
  <c r="C455" i="1"/>
  <c r="B455" i="1"/>
  <c r="A455" i="1"/>
  <c r="AP454" i="1"/>
  <c r="AO454" i="1"/>
  <c r="AR454" i="1" s="1"/>
  <c r="AL454" i="1"/>
  <c r="AK454" i="1"/>
  <c r="AN454" i="1" s="1"/>
  <c r="AE454" i="1"/>
  <c r="AC454" i="1"/>
  <c r="AB454" i="1"/>
  <c r="AA454" i="1"/>
  <c r="Y454" i="1"/>
  <c r="X454" i="1"/>
  <c r="T454" i="1"/>
  <c r="S454" i="1"/>
  <c r="R454" i="1"/>
  <c r="Q454" i="1"/>
  <c r="P454" i="1"/>
  <c r="O454" i="1"/>
  <c r="N454" i="1"/>
  <c r="M454" i="1"/>
  <c r="U454" i="1" s="1"/>
  <c r="L454" i="1"/>
  <c r="F454" i="1"/>
  <c r="G454" i="1" s="1"/>
  <c r="E454" i="1"/>
  <c r="C454" i="1"/>
  <c r="B454" i="1"/>
  <c r="A454" i="1"/>
  <c r="AP453" i="1"/>
  <c r="AO453" i="1"/>
  <c r="AR453" i="1" s="1"/>
  <c r="AL453" i="1"/>
  <c r="AK453" i="1"/>
  <c r="AN453" i="1" s="1"/>
  <c r="AE453" i="1"/>
  <c r="AC453" i="1"/>
  <c r="AB453" i="1"/>
  <c r="AA453" i="1"/>
  <c r="Y453" i="1"/>
  <c r="X453" i="1"/>
  <c r="V453" i="1"/>
  <c r="T453" i="1"/>
  <c r="S453" i="1"/>
  <c r="R453" i="1"/>
  <c r="Q453" i="1"/>
  <c r="P453" i="1"/>
  <c r="O453" i="1"/>
  <c r="N453" i="1"/>
  <c r="M453" i="1"/>
  <c r="U453" i="1" s="1"/>
  <c r="L453" i="1"/>
  <c r="F453" i="1"/>
  <c r="G453" i="1" s="1"/>
  <c r="E453" i="1"/>
  <c r="C453" i="1"/>
  <c r="B453" i="1"/>
  <c r="A453" i="1"/>
  <c r="AQ452" i="1"/>
  <c r="AR452" i="1" s="1"/>
  <c r="AP452" i="1"/>
  <c r="AO452" i="1"/>
  <c r="AM452" i="1"/>
  <c r="AN452" i="1" s="1"/>
  <c r="AL452" i="1"/>
  <c r="AK452" i="1"/>
  <c r="AE452" i="1"/>
  <c r="AC452" i="1"/>
  <c r="AB452" i="1"/>
  <c r="AA452" i="1"/>
  <c r="Y452" i="1"/>
  <c r="X452" i="1"/>
  <c r="V452" i="1"/>
  <c r="T452" i="1"/>
  <c r="S452" i="1"/>
  <c r="R452" i="1"/>
  <c r="Q452" i="1"/>
  <c r="P452" i="1"/>
  <c r="O452" i="1"/>
  <c r="N452" i="1"/>
  <c r="M452" i="1"/>
  <c r="U452" i="1" s="1"/>
  <c r="L452" i="1"/>
  <c r="F452" i="1"/>
  <c r="G452" i="1" s="1"/>
  <c r="E452" i="1"/>
  <c r="C452" i="1"/>
  <c r="B452" i="1"/>
  <c r="A452" i="1"/>
  <c r="AQ451" i="1"/>
  <c r="AR451" i="1" s="1"/>
  <c r="AP451" i="1"/>
  <c r="AO451" i="1"/>
  <c r="AM451" i="1"/>
  <c r="AN451" i="1" s="1"/>
  <c r="AL451" i="1"/>
  <c r="AK451" i="1"/>
  <c r="AE451" i="1"/>
  <c r="AC451" i="1"/>
  <c r="AB451" i="1"/>
  <c r="AA451" i="1"/>
  <c r="Y451" i="1"/>
  <c r="X451" i="1"/>
  <c r="V451" i="1"/>
  <c r="T451" i="1"/>
  <c r="S451" i="1"/>
  <c r="R451" i="1"/>
  <c r="Q451" i="1"/>
  <c r="P451" i="1"/>
  <c r="O451" i="1"/>
  <c r="N451" i="1"/>
  <c r="M451" i="1"/>
  <c r="U451" i="1" s="1"/>
  <c r="L451" i="1"/>
  <c r="F451" i="1"/>
  <c r="G451" i="1" s="1"/>
  <c r="E451" i="1"/>
  <c r="C451" i="1"/>
  <c r="B451" i="1"/>
  <c r="A451" i="1"/>
  <c r="AP450" i="1"/>
  <c r="AO450" i="1"/>
  <c r="AR450" i="1" s="1"/>
  <c r="AL450" i="1"/>
  <c r="AK450" i="1"/>
  <c r="AN450" i="1" s="1"/>
  <c r="AE450" i="1"/>
  <c r="AC450" i="1"/>
  <c r="AB450" i="1"/>
  <c r="AA450" i="1"/>
  <c r="Y450" i="1"/>
  <c r="X450" i="1"/>
  <c r="V450" i="1"/>
  <c r="T450" i="1"/>
  <c r="S450" i="1"/>
  <c r="R450" i="1"/>
  <c r="Q450" i="1"/>
  <c r="P450" i="1"/>
  <c r="O450" i="1"/>
  <c r="N450" i="1"/>
  <c r="M450" i="1"/>
  <c r="U450" i="1" s="1"/>
  <c r="L450" i="1"/>
  <c r="F450" i="1"/>
  <c r="G450" i="1" s="1"/>
  <c r="E450" i="1"/>
  <c r="C450" i="1"/>
  <c r="B450" i="1"/>
  <c r="A450" i="1"/>
  <c r="AQ449" i="1"/>
  <c r="AR449" i="1" s="1"/>
  <c r="AP449" i="1"/>
  <c r="AO449" i="1"/>
  <c r="AM449" i="1"/>
  <c r="AN449" i="1" s="1"/>
  <c r="AL449" i="1"/>
  <c r="AK449" i="1"/>
  <c r="AE449" i="1"/>
  <c r="AC449" i="1"/>
  <c r="AB449" i="1"/>
  <c r="AA449" i="1"/>
  <c r="Y449" i="1"/>
  <c r="X449" i="1"/>
  <c r="V449" i="1"/>
  <c r="T449" i="1"/>
  <c r="S449" i="1"/>
  <c r="R449" i="1"/>
  <c r="Q449" i="1"/>
  <c r="P449" i="1"/>
  <c r="O449" i="1"/>
  <c r="N449" i="1"/>
  <c r="M449" i="1"/>
  <c r="U449" i="1" s="1"/>
  <c r="L449" i="1"/>
  <c r="F449" i="1"/>
  <c r="E449" i="1"/>
  <c r="C449" i="1"/>
  <c r="B449" i="1"/>
  <c r="AP448" i="1"/>
  <c r="AO448" i="1"/>
  <c r="AR448" i="1" s="1"/>
  <c r="AL448" i="1"/>
  <c r="AK448" i="1"/>
  <c r="AN448" i="1" s="1"/>
  <c r="AE448" i="1"/>
  <c r="AC448" i="1"/>
  <c r="AB448" i="1"/>
  <c r="AA448" i="1"/>
  <c r="Y448" i="1"/>
  <c r="X448" i="1"/>
  <c r="V448" i="1"/>
  <c r="T448" i="1"/>
  <c r="S448" i="1"/>
  <c r="R448" i="1"/>
  <c r="Q448" i="1"/>
  <c r="P448" i="1"/>
  <c r="O448" i="1"/>
  <c r="N448" i="1"/>
  <c r="M448" i="1"/>
  <c r="U448" i="1" s="1"/>
  <c r="L448" i="1"/>
  <c r="F448" i="1"/>
  <c r="E448" i="1"/>
  <c r="C448" i="1"/>
  <c r="B448" i="1"/>
  <c r="AP447" i="1"/>
  <c r="AO447" i="1"/>
  <c r="AL447" i="1"/>
  <c r="AK447" i="1"/>
  <c r="AE447" i="1"/>
  <c r="AC447" i="1"/>
  <c r="AB447" i="1"/>
  <c r="AA447" i="1"/>
  <c r="Y447" i="1"/>
  <c r="X447" i="1"/>
  <c r="V447" i="1"/>
  <c r="T447" i="1"/>
  <c r="S447" i="1"/>
  <c r="R447" i="1"/>
  <c r="Q447" i="1"/>
  <c r="P447" i="1"/>
  <c r="O447" i="1"/>
  <c r="N447" i="1"/>
  <c r="M447" i="1"/>
  <c r="U447" i="1" s="1"/>
  <c r="K447" i="1"/>
  <c r="L447" i="1" s="1"/>
  <c r="F447" i="1"/>
  <c r="E447" i="1"/>
  <c r="C447" i="1"/>
  <c r="B447" i="1"/>
  <c r="AP446" i="1"/>
  <c r="AO446" i="1"/>
  <c r="AR446" i="1" s="1"/>
  <c r="AL446" i="1"/>
  <c r="AK446" i="1"/>
  <c r="AN446" i="1" s="1"/>
  <c r="AE446" i="1"/>
  <c r="AC446" i="1"/>
  <c r="AB446" i="1"/>
  <c r="AA446" i="1"/>
  <c r="Y446" i="1"/>
  <c r="X446" i="1"/>
  <c r="V446" i="1"/>
  <c r="T446" i="1"/>
  <c r="S446" i="1"/>
  <c r="R446" i="1"/>
  <c r="Q446" i="1"/>
  <c r="P446" i="1"/>
  <c r="O446" i="1"/>
  <c r="N446" i="1"/>
  <c r="M446" i="1"/>
  <c r="U446" i="1" s="1"/>
  <c r="L446" i="1"/>
  <c r="F446" i="1"/>
  <c r="E446" i="1"/>
  <c r="C446" i="1"/>
  <c r="B446" i="1"/>
  <c r="AP445" i="1"/>
  <c r="AO445" i="1"/>
  <c r="AL445" i="1"/>
  <c r="AK445" i="1"/>
  <c r="AE445" i="1"/>
  <c r="AC445" i="1"/>
  <c r="AB445" i="1"/>
  <c r="AA445" i="1"/>
  <c r="Y445" i="1"/>
  <c r="Z445" i="1" s="1"/>
  <c r="X445" i="1"/>
  <c r="V445" i="1"/>
  <c r="T445" i="1"/>
  <c r="S445" i="1"/>
  <c r="R445" i="1"/>
  <c r="Q445" i="1"/>
  <c r="P445" i="1"/>
  <c r="O445" i="1"/>
  <c r="N445" i="1"/>
  <c r="M445" i="1"/>
  <c r="U445" i="1" s="1"/>
  <c r="K445" i="1"/>
  <c r="L445" i="1" s="1"/>
  <c r="F445" i="1"/>
  <c r="E445" i="1"/>
  <c r="C445" i="1"/>
  <c r="B445" i="1"/>
  <c r="AQ444" i="1"/>
  <c r="AR444" i="1" s="1"/>
  <c r="AP444" i="1"/>
  <c r="AO444" i="1"/>
  <c r="AM444" i="1"/>
  <c r="AN444" i="1" s="1"/>
  <c r="AL444" i="1"/>
  <c r="AK444" i="1"/>
  <c r="AE444" i="1"/>
  <c r="AC444" i="1"/>
  <c r="AB444" i="1"/>
  <c r="AA444" i="1"/>
  <c r="Y444" i="1"/>
  <c r="X444" i="1"/>
  <c r="V444" i="1"/>
  <c r="T444" i="1"/>
  <c r="S444" i="1"/>
  <c r="R444" i="1"/>
  <c r="Q444" i="1"/>
  <c r="P444" i="1"/>
  <c r="O444" i="1"/>
  <c r="N444" i="1"/>
  <c r="M444" i="1"/>
  <c r="U444" i="1" s="1"/>
  <c r="L444" i="1"/>
  <c r="F444" i="1"/>
  <c r="E444" i="1"/>
  <c r="C444" i="1"/>
  <c r="B444" i="1"/>
  <c r="AP443" i="1"/>
  <c r="AO443" i="1"/>
  <c r="AR443" i="1" s="1"/>
  <c r="AL443" i="1"/>
  <c r="AK443" i="1"/>
  <c r="AN443" i="1" s="1"/>
  <c r="AE443" i="1"/>
  <c r="AC443" i="1"/>
  <c r="AB443" i="1"/>
  <c r="AA443" i="1"/>
  <c r="Y443" i="1"/>
  <c r="X443" i="1"/>
  <c r="V443" i="1"/>
  <c r="T443" i="1"/>
  <c r="S443" i="1"/>
  <c r="R443" i="1"/>
  <c r="Q443" i="1"/>
  <c r="P443" i="1"/>
  <c r="O443" i="1"/>
  <c r="N443" i="1"/>
  <c r="M443" i="1"/>
  <c r="U443" i="1" s="1"/>
  <c r="L443" i="1"/>
  <c r="F443" i="1"/>
  <c r="E443" i="1"/>
  <c r="C443" i="1"/>
  <c r="B443" i="1"/>
  <c r="AP442" i="1"/>
  <c r="AO442" i="1"/>
  <c r="AR442" i="1" s="1"/>
  <c r="AL442" i="1"/>
  <c r="AK442" i="1"/>
  <c r="AN442" i="1" s="1"/>
  <c r="AE442" i="1"/>
  <c r="AC442" i="1"/>
  <c r="AB442" i="1"/>
  <c r="AA442" i="1"/>
  <c r="Y442" i="1"/>
  <c r="Z442" i="1" s="1"/>
  <c r="X442" i="1"/>
  <c r="V442" i="1"/>
  <c r="T442" i="1"/>
  <c r="S442" i="1"/>
  <c r="R442" i="1"/>
  <c r="Q442" i="1"/>
  <c r="P442" i="1"/>
  <c r="O442" i="1"/>
  <c r="N442" i="1"/>
  <c r="M442" i="1"/>
  <c r="U442" i="1" s="1"/>
  <c r="L442" i="1"/>
  <c r="F442" i="1"/>
  <c r="E442" i="1"/>
  <c r="C442" i="1"/>
  <c r="B442" i="1"/>
  <c r="AQ441" i="1"/>
  <c r="AR441" i="1" s="1"/>
  <c r="AP441" i="1"/>
  <c r="AO441" i="1"/>
  <c r="AM441" i="1"/>
  <c r="AN441" i="1" s="1"/>
  <c r="AL441" i="1"/>
  <c r="AK441" i="1"/>
  <c r="AE441" i="1"/>
  <c r="AC441" i="1"/>
  <c r="AB441" i="1"/>
  <c r="AA441" i="1"/>
  <c r="Y441" i="1"/>
  <c r="Z441" i="1" s="1"/>
  <c r="X441" i="1"/>
  <c r="V441" i="1"/>
  <c r="T441" i="1"/>
  <c r="S441" i="1"/>
  <c r="R441" i="1"/>
  <c r="Q441" i="1"/>
  <c r="P441" i="1"/>
  <c r="O441" i="1"/>
  <c r="N441" i="1"/>
  <c r="M441" i="1"/>
  <c r="L441" i="1"/>
  <c r="F441" i="1"/>
  <c r="E441" i="1"/>
  <c r="C441" i="1"/>
  <c r="B441" i="1"/>
  <c r="AQ440" i="1"/>
  <c r="AR440" i="1" s="1"/>
  <c r="AP440" i="1"/>
  <c r="AO440" i="1"/>
  <c r="AM440" i="1"/>
  <c r="AN440" i="1" s="1"/>
  <c r="AL440" i="1"/>
  <c r="AK440" i="1"/>
  <c r="AE440" i="1"/>
  <c r="AC440" i="1"/>
  <c r="AB440" i="1"/>
  <c r="AA440" i="1"/>
  <c r="Y440" i="1"/>
  <c r="X440" i="1"/>
  <c r="V440" i="1"/>
  <c r="T440" i="1"/>
  <c r="S440" i="1"/>
  <c r="R440" i="1"/>
  <c r="Q440" i="1"/>
  <c r="P440" i="1"/>
  <c r="O440" i="1"/>
  <c r="N440" i="1"/>
  <c r="M440" i="1"/>
  <c r="U440" i="1" s="1"/>
  <c r="L440" i="1"/>
  <c r="F440" i="1"/>
  <c r="E440" i="1"/>
  <c r="C440" i="1"/>
  <c r="B440" i="1"/>
  <c r="AQ439" i="1"/>
  <c r="AR439" i="1" s="1"/>
  <c r="AP439" i="1"/>
  <c r="AO439" i="1"/>
  <c r="AM439" i="1"/>
  <c r="AN439" i="1" s="1"/>
  <c r="AL439" i="1"/>
  <c r="AK439" i="1"/>
  <c r="AE439" i="1"/>
  <c r="AC439" i="1"/>
  <c r="AB439" i="1"/>
  <c r="AA439" i="1"/>
  <c r="Y439" i="1"/>
  <c r="X439" i="1"/>
  <c r="V439" i="1"/>
  <c r="T439" i="1"/>
  <c r="S439" i="1"/>
  <c r="R439" i="1"/>
  <c r="Q439" i="1"/>
  <c r="P439" i="1"/>
  <c r="O439" i="1"/>
  <c r="N439" i="1"/>
  <c r="M439" i="1"/>
  <c r="L439" i="1"/>
  <c r="F439" i="1"/>
  <c r="E439" i="1"/>
  <c r="C439" i="1"/>
  <c r="B439" i="1"/>
  <c r="AQ438" i="1"/>
  <c r="AP438" i="1"/>
  <c r="AO438" i="1"/>
  <c r="AM438" i="1"/>
  <c r="AN438" i="1" s="1"/>
  <c r="AL438" i="1"/>
  <c r="AK438" i="1"/>
  <c r="AE438" i="1"/>
  <c r="AC438" i="1"/>
  <c r="AB438" i="1"/>
  <c r="AA438" i="1"/>
  <c r="Y438" i="1"/>
  <c r="Z438" i="1" s="1"/>
  <c r="X438" i="1"/>
  <c r="V438" i="1"/>
  <c r="T438" i="1"/>
  <c r="S438" i="1"/>
  <c r="R438" i="1"/>
  <c r="Q438" i="1"/>
  <c r="P438" i="1"/>
  <c r="O438" i="1"/>
  <c r="N438" i="1"/>
  <c r="M438" i="1"/>
  <c r="U438" i="1" s="1"/>
  <c r="K438" i="1"/>
  <c r="L438" i="1" s="1"/>
  <c r="F438" i="1"/>
  <c r="E438" i="1"/>
  <c r="C438" i="1"/>
  <c r="B438" i="1"/>
  <c r="AQ437" i="1"/>
  <c r="AR437" i="1" s="1"/>
  <c r="AP437" i="1"/>
  <c r="AO437" i="1"/>
  <c r="AM437" i="1"/>
  <c r="AN437" i="1" s="1"/>
  <c r="AL437" i="1"/>
  <c r="AK437" i="1"/>
  <c r="AE437" i="1"/>
  <c r="AC437" i="1"/>
  <c r="AB437" i="1"/>
  <c r="AA437" i="1"/>
  <c r="Y437" i="1"/>
  <c r="Z437" i="1" s="1"/>
  <c r="X437" i="1"/>
  <c r="V437" i="1"/>
  <c r="T437" i="1"/>
  <c r="S437" i="1"/>
  <c r="R437" i="1"/>
  <c r="Q437" i="1"/>
  <c r="P437" i="1"/>
  <c r="O437" i="1"/>
  <c r="N437" i="1"/>
  <c r="M437" i="1"/>
  <c r="U437" i="1" s="1"/>
  <c r="L437" i="1"/>
  <c r="K437" i="1"/>
  <c r="F437" i="1"/>
  <c r="E437" i="1"/>
  <c r="C437" i="1"/>
  <c r="B437" i="1"/>
  <c r="AQ436" i="1"/>
  <c r="AR436" i="1" s="1"/>
  <c r="AP436" i="1"/>
  <c r="AO436" i="1"/>
  <c r="AM436" i="1"/>
  <c r="AN436" i="1" s="1"/>
  <c r="AL436" i="1"/>
  <c r="AK436" i="1"/>
  <c r="AE436" i="1"/>
  <c r="AC436" i="1"/>
  <c r="AB436" i="1"/>
  <c r="AA436" i="1"/>
  <c r="Y436" i="1"/>
  <c r="X436" i="1"/>
  <c r="V436" i="1"/>
  <c r="T436" i="1"/>
  <c r="S436" i="1"/>
  <c r="R436" i="1"/>
  <c r="Q436" i="1"/>
  <c r="P436" i="1"/>
  <c r="O436" i="1"/>
  <c r="N436" i="1"/>
  <c r="M436" i="1"/>
  <c r="U436" i="1" s="1"/>
  <c r="L436" i="1"/>
  <c r="F436" i="1"/>
  <c r="E436" i="1"/>
  <c r="C436" i="1"/>
  <c r="B436" i="1"/>
  <c r="AQ435" i="1"/>
  <c r="AR435" i="1" s="1"/>
  <c r="AP435" i="1"/>
  <c r="AO435" i="1"/>
  <c r="AM435" i="1"/>
  <c r="AN435" i="1" s="1"/>
  <c r="AL435" i="1"/>
  <c r="AK435" i="1"/>
  <c r="AE435" i="1"/>
  <c r="AC435" i="1"/>
  <c r="AB435" i="1"/>
  <c r="AA435" i="1"/>
  <c r="Y435" i="1"/>
  <c r="Z435" i="1" s="1"/>
  <c r="X435" i="1"/>
  <c r="V435" i="1"/>
  <c r="T435" i="1"/>
  <c r="S435" i="1"/>
  <c r="R435" i="1"/>
  <c r="Q435" i="1"/>
  <c r="P435" i="1"/>
  <c r="O435" i="1"/>
  <c r="N435" i="1"/>
  <c r="M435" i="1"/>
  <c r="L435" i="1"/>
  <c r="F435" i="1"/>
  <c r="E435" i="1"/>
  <c r="C435" i="1"/>
  <c r="B435" i="1"/>
  <c r="AQ434" i="1"/>
  <c r="AR434" i="1" s="1"/>
  <c r="AP434" i="1"/>
  <c r="AO434" i="1"/>
  <c r="AM434" i="1"/>
  <c r="AN434" i="1" s="1"/>
  <c r="AL434" i="1"/>
  <c r="AK434" i="1"/>
  <c r="AE434" i="1"/>
  <c r="AC434" i="1"/>
  <c r="AB434" i="1"/>
  <c r="AA434" i="1"/>
  <c r="Y434" i="1"/>
  <c r="Z434" i="1" s="1"/>
  <c r="X434" i="1"/>
  <c r="V434" i="1"/>
  <c r="T434" i="1"/>
  <c r="S434" i="1"/>
  <c r="R434" i="1"/>
  <c r="Q434" i="1"/>
  <c r="P434" i="1"/>
  <c r="O434" i="1"/>
  <c r="N434" i="1"/>
  <c r="M434" i="1"/>
  <c r="L434" i="1"/>
  <c r="F434" i="1"/>
  <c r="E434" i="1"/>
  <c r="C434" i="1"/>
  <c r="B434" i="1"/>
  <c r="AQ433" i="1"/>
  <c r="AR433" i="1" s="1"/>
  <c r="AP433" i="1"/>
  <c r="AO433" i="1"/>
  <c r="AM433" i="1"/>
  <c r="AN433" i="1" s="1"/>
  <c r="AL433" i="1"/>
  <c r="AK433" i="1"/>
  <c r="AE433" i="1"/>
  <c r="AC433" i="1"/>
  <c r="AB433" i="1"/>
  <c r="AA433" i="1"/>
  <c r="Y433" i="1"/>
  <c r="Z433" i="1" s="1"/>
  <c r="X433" i="1"/>
  <c r="V433" i="1"/>
  <c r="T433" i="1"/>
  <c r="S433" i="1"/>
  <c r="R433" i="1"/>
  <c r="Q433" i="1"/>
  <c r="P433" i="1"/>
  <c r="O433" i="1"/>
  <c r="N433" i="1"/>
  <c r="M433" i="1"/>
  <c r="L433" i="1"/>
  <c r="K433" i="1"/>
  <c r="F433" i="1"/>
  <c r="G433" i="1" s="1"/>
  <c r="E433" i="1"/>
  <c r="C433" i="1"/>
  <c r="B433" i="1"/>
  <c r="A433" i="1"/>
  <c r="AQ432" i="1"/>
  <c r="AR432" i="1" s="1"/>
  <c r="AP432" i="1"/>
  <c r="AO432" i="1"/>
  <c r="AM432" i="1"/>
  <c r="AN432" i="1" s="1"/>
  <c r="AL432" i="1"/>
  <c r="AK432" i="1"/>
  <c r="AE432" i="1"/>
  <c r="AC432" i="1"/>
  <c r="AB432" i="1"/>
  <c r="AA432" i="1"/>
  <c r="Y432" i="1"/>
  <c r="X432" i="1"/>
  <c r="V432" i="1"/>
  <c r="T432" i="1"/>
  <c r="S432" i="1"/>
  <c r="R432" i="1"/>
  <c r="Q432" i="1"/>
  <c r="P432" i="1"/>
  <c r="O432" i="1"/>
  <c r="N432" i="1"/>
  <c r="M432" i="1"/>
  <c r="U432" i="1" s="1"/>
  <c r="L432" i="1"/>
  <c r="F432" i="1"/>
  <c r="G432" i="1" s="1"/>
  <c r="E432" i="1"/>
  <c r="C432" i="1"/>
  <c r="B432" i="1"/>
  <c r="A432" i="1"/>
  <c r="AQ431" i="1"/>
  <c r="AR431" i="1" s="1"/>
  <c r="AP431" i="1"/>
  <c r="AO431" i="1"/>
  <c r="AM431" i="1"/>
  <c r="AN431" i="1" s="1"/>
  <c r="AL431" i="1"/>
  <c r="AK431" i="1"/>
  <c r="AE431" i="1"/>
  <c r="AC431" i="1"/>
  <c r="AB431" i="1"/>
  <c r="AA431" i="1"/>
  <c r="Y431" i="1"/>
  <c r="X431" i="1"/>
  <c r="V431" i="1"/>
  <c r="T431" i="1"/>
  <c r="S431" i="1"/>
  <c r="R431" i="1"/>
  <c r="Q431" i="1"/>
  <c r="P431" i="1"/>
  <c r="O431" i="1"/>
  <c r="N431" i="1"/>
  <c r="M431" i="1"/>
  <c r="U431" i="1" s="1"/>
  <c r="L431" i="1"/>
  <c r="F431" i="1"/>
  <c r="G431" i="1" s="1"/>
  <c r="E431" i="1"/>
  <c r="C431" i="1"/>
  <c r="B431" i="1"/>
  <c r="A431" i="1"/>
  <c r="AQ430" i="1"/>
  <c r="AR430" i="1" s="1"/>
  <c r="AP430" i="1"/>
  <c r="AO430" i="1"/>
  <c r="AM430" i="1"/>
  <c r="AN430" i="1" s="1"/>
  <c r="AL430" i="1"/>
  <c r="AK430" i="1"/>
  <c r="AE430" i="1"/>
  <c r="AC430" i="1"/>
  <c r="AB430" i="1"/>
  <c r="AA430" i="1"/>
  <c r="Y430" i="1"/>
  <c r="X430" i="1"/>
  <c r="T430" i="1"/>
  <c r="S430" i="1"/>
  <c r="R430" i="1"/>
  <c r="Q430" i="1"/>
  <c r="P430" i="1"/>
  <c r="O430" i="1"/>
  <c r="N430" i="1"/>
  <c r="M430" i="1"/>
  <c r="U430" i="1" s="1"/>
  <c r="L430" i="1"/>
  <c r="F430" i="1"/>
  <c r="G430" i="1" s="1"/>
  <c r="E430" i="1"/>
  <c r="C430" i="1"/>
  <c r="B430" i="1"/>
  <c r="A430" i="1"/>
  <c r="AQ429" i="1"/>
  <c r="AR429" i="1" s="1"/>
  <c r="AP429" i="1"/>
  <c r="AO429" i="1"/>
  <c r="AM429" i="1"/>
  <c r="AN429" i="1" s="1"/>
  <c r="AL429" i="1"/>
  <c r="AK429" i="1"/>
  <c r="AE429" i="1"/>
  <c r="AC429" i="1"/>
  <c r="AB429" i="1"/>
  <c r="AA429" i="1"/>
  <c r="Y429" i="1"/>
  <c r="X429" i="1"/>
  <c r="T429" i="1"/>
  <c r="S429" i="1"/>
  <c r="R429" i="1"/>
  <c r="Q429" i="1"/>
  <c r="P429" i="1"/>
  <c r="O429" i="1"/>
  <c r="N429" i="1"/>
  <c r="M429" i="1"/>
  <c r="U429" i="1" s="1"/>
  <c r="L429" i="1"/>
  <c r="F429" i="1"/>
  <c r="G429" i="1" s="1"/>
  <c r="E429" i="1"/>
  <c r="C429" i="1"/>
  <c r="B429" i="1"/>
  <c r="A429" i="1"/>
  <c r="AQ428" i="1"/>
  <c r="AR428" i="1" s="1"/>
  <c r="AP428" i="1"/>
  <c r="AO428" i="1"/>
  <c r="AN428" i="1"/>
  <c r="AL428" i="1"/>
  <c r="AK428" i="1"/>
  <c r="AE428" i="1"/>
  <c r="AC428" i="1"/>
  <c r="AB428" i="1"/>
  <c r="AA428" i="1"/>
  <c r="Y428" i="1"/>
  <c r="X428" i="1"/>
  <c r="T428" i="1"/>
  <c r="S428" i="1"/>
  <c r="R428" i="1"/>
  <c r="Q428" i="1"/>
  <c r="P428" i="1"/>
  <c r="O428" i="1"/>
  <c r="N428" i="1"/>
  <c r="M428" i="1"/>
  <c r="U428" i="1" s="1"/>
  <c r="L428" i="1"/>
  <c r="F428" i="1"/>
  <c r="G428" i="1" s="1"/>
  <c r="E428" i="1"/>
  <c r="C428" i="1"/>
  <c r="B428" i="1"/>
  <c r="A428" i="1"/>
  <c r="AQ427" i="1"/>
  <c r="AR427" i="1" s="1"/>
  <c r="AP427" i="1"/>
  <c r="AO427" i="1"/>
  <c r="AN427" i="1"/>
  <c r="AL427" i="1"/>
  <c r="AK427" i="1"/>
  <c r="AE427" i="1"/>
  <c r="AC427" i="1"/>
  <c r="AB427" i="1"/>
  <c r="AA427" i="1"/>
  <c r="Y427" i="1"/>
  <c r="X427" i="1"/>
  <c r="T427" i="1"/>
  <c r="S427" i="1"/>
  <c r="R427" i="1"/>
  <c r="Q427" i="1"/>
  <c r="P427" i="1"/>
  <c r="O427" i="1"/>
  <c r="N427" i="1"/>
  <c r="M427" i="1"/>
  <c r="U427" i="1" s="1"/>
  <c r="L427" i="1"/>
  <c r="F427" i="1"/>
  <c r="G427" i="1" s="1"/>
  <c r="E427" i="1"/>
  <c r="C427" i="1"/>
  <c r="B427" i="1"/>
  <c r="A427" i="1"/>
  <c r="AP426" i="1"/>
  <c r="AO426" i="1"/>
  <c r="AR426" i="1" s="1"/>
  <c r="AL426" i="1"/>
  <c r="AK426" i="1"/>
  <c r="AN426" i="1" s="1"/>
  <c r="AE426" i="1"/>
  <c r="AC426" i="1"/>
  <c r="AB426" i="1"/>
  <c r="AA426" i="1"/>
  <c r="Y426" i="1"/>
  <c r="X426" i="1"/>
  <c r="T426" i="1"/>
  <c r="S426" i="1"/>
  <c r="R426" i="1"/>
  <c r="Q426" i="1"/>
  <c r="P426" i="1"/>
  <c r="O426" i="1"/>
  <c r="N426" i="1"/>
  <c r="M426" i="1"/>
  <c r="U426" i="1" s="1"/>
  <c r="L426" i="1"/>
  <c r="F426" i="1"/>
  <c r="G426" i="1" s="1"/>
  <c r="E426" i="1"/>
  <c r="C426" i="1"/>
  <c r="B426" i="1"/>
  <c r="A426" i="1"/>
  <c r="AP425" i="1"/>
  <c r="AO425" i="1"/>
  <c r="AR425" i="1" s="1"/>
  <c r="AL425" i="1"/>
  <c r="AK425" i="1"/>
  <c r="AN425" i="1" s="1"/>
  <c r="AE425" i="1"/>
  <c r="AC425" i="1"/>
  <c r="AB425" i="1"/>
  <c r="AA425" i="1"/>
  <c r="Y425" i="1"/>
  <c r="X425" i="1"/>
  <c r="T425" i="1"/>
  <c r="S425" i="1"/>
  <c r="R425" i="1"/>
  <c r="Q425" i="1"/>
  <c r="P425" i="1"/>
  <c r="O425" i="1"/>
  <c r="N425" i="1"/>
  <c r="M425" i="1"/>
  <c r="U425" i="1" s="1"/>
  <c r="L425" i="1"/>
  <c r="F425" i="1"/>
  <c r="G425" i="1" s="1"/>
  <c r="E425" i="1"/>
  <c r="C425" i="1"/>
  <c r="B425" i="1"/>
  <c r="A425" i="1"/>
  <c r="AQ424" i="1"/>
  <c r="AR424" i="1" s="1"/>
  <c r="AP424" i="1"/>
  <c r="AO424" i="1"/>
  <c r="AN424" i="1"/>
  <c r="AL424" i="1"/>
  <c r="AK424" i="1"/>
  <c r="AE424" i="1"/>
  <c r="AC424" i="1"/>
  <c r="AB424" i="1"/>
  <c r="AA424" i="1"/>
  <c r="Y424" i="1"/>
  <c r="X424" i="1"/>
  <c r="T424" i="1"/>
  <c r="S424" i="1"/>
  <c r="R424" i="1"/>
  <c r="Q424" i="1"/>
  <c r="P424" i="1"/>
  <c r="O424" i="1"/>
  <c r="N424" i="1"/>
  <c r="M424" i="1"/>
  <c r="U424" i="1" s="1"/>
  <c r="L424" i="1"/>
  <c r="F424" i="1"/>
  <c r="G424" i="1" s="1"/>
  <c r="E424" i="1"/>
  <c r="C424" i="1"/>
  <c r="B424" i="1"/>
  <c r="A424" i="1"/>
  <c r="AP423" i="1"/>
  <c r="AO423" i="1"/>
  <c r="AL423" i="1"/>
  <c r="AK423" i="1"/>
  <c r="AE423" i="1"/>
  <c r="AC423" i="1"/>
  <c r="AB423" i="1"/>
  <c r="AA423" i="1"/>
  <c r="Y423" i="1"/>
  <c r="X423" i="1"/>
  <c r="T423" i="1"/>
  <c r="S423" i="1"/>
  <c r="R423" i="1"/>
  <c r="Q423" i="1"/>
  <c r="P423" i="1"/>
  <c r="O423" i="1"/>
  <c r="N423" i="1"/>
  <c r="M423" i="1"/>
  <c r="U423" i="1" s="1"/>
  <c r="K423" i="1"/>
  <c r="L423" i="1" s="1"/>
  <c r="F423" i="1"/>
  <c r="G423" i="1" s="1"/>
  <c r="E423" i="1"/>
  <c r="C423" i="1"/>
  <c r="B423" i="1"/>
  <c r="A423" i="1"/>
  <c r="AP422" i="1"/>
  <c r="AO422" i="1"/>
  <c r="AR422" i="1" s="1"/>
  <c r="AL422" i="1"/>
  <c r="AK422" i="1"/>
  <c r="AN422" i="1" s="1"/>
  <c r="AE422" i="1"/>
  <c r="AC422" i="1"/>
  <c r="AB422" i="1"/>
  <c r="AA422" i="1"/>
  <c r="Y422" i="1"/>
  <c r="X422" i="1"/>
  <c r="T422" i="1"/>
  <c r="S422" i="1"/>
  <c r="R422" i="1"/>
  <c r="Q422" i="1"/>
  <c r="P422" i="1"/>
  <c r="O422" i="1"/>
  <c r="N422" i="1"/>
  <c r="M422" i="1"/>
  <c r="U422" i="1" s="1"/>
  <c r="L422" i="1"/>
  <c r="F422" i="1"/>
  <c r="G422" i="1" s="1"/>
  <c r="E422" i="1"/>
  <c r="C422" i="1"/>
  <c r="B422" i="1"/>
  <c r="A422" i="1"/>
  <c r="AQ421" i="1"/>
  <c r="AR421" i="1" s="1"/>
  <c r="AP421" i="1"/>
  <c r="AO421" i="1"/>
  <c r="AN421" i="1"/>
  <c r="AL421" i="1"/>
  <c r="AK421" i="1"/>
  <c r="AE421" i="1"/>
  <c r="AC421" i="1"/>
  <c r="AB421" i="1"/>
  <c r="AA421" i="1"/>
  <c r="Y421" i="1"/>
  <c r="X421" i="1"/>
  <c r="T421" i="1"/>
  <c r="S421" i="1"/>
  <c r="R421" i="1"/>
  <c r="Q421" i="1"/>
  <c r="P421" i="1"/>
  <c r="O421" i="1"/>
  <c r="N421" i="1"/>
  <c r="M421" i="1"/>
  <c r="U421" i="1" s="1"/>
  <c r="L421" i="1"/>
  <c r="F421" i="1"/>
  <c r="G421" i="1" s="1"/>
  <c r="E421" i="1"/>
  <c r="C421" i="1"/>
  <c r="B421" i="1"/>
  <c r="A421" i="1"/>
  <c r="AP420" i="1"/>
  <c r="AO420" i="1"/>
  <c r="AL420" i="1"/>
  <c r="AK420" i="1"/>
  <c r="AE420" i="1"/>
  <c r="AC420" i="1"/>
  <c r="AB420" i="1"/>
  <c r="AA420" i="1"/>
  <c r="Y420" i="1"/>
  <c r="X420" i="1"/>
  <c r="T420" i="1"/>
  <c r="S420" i="1"/>
  <c r="R420" i="1"/>
  <c r="Q420" i="1"/>
  <c r="P420" i="1"/>
  <c r="O420" i="1"/>
  <c r="N420" i="1"/>
  <c r="M420" i="1"/>
  <c r="U420" i="1" s="1"/>
  <c r="K420" i="1"/>
  <c r="L420" i="1" s="1"/>
  <c r="F420" i="1"/>
  <c r="G420" i="1" s="1"/>
  <c r="E420" i="1"/>
  <c r="C420" i="1"/>
  <c r="B420" i="1"/>
  <c r="A420" i="1"/>
  <c r="AP419" i="1"/>
  <c r="AO419" i="1"/>
  <c r="AR419" i="1" s="1"/>
  <c r="AL419" i="1"/>
  <c r="AK419" i="1"/>
  <c r="AN419" i="1" s="1"/>
  <c r="AE419" i="1"/>
  <c r="AC419" i="1"/>
  <c r="AB419" i="1"/>
  <c r="AA419" i="1"/>
  <c r="Y419" i="1"/>
  <c r="X419" i="1"/>
  <c r="T419" i="1"/>
  <c r="S419" i="1"/>
  <c r="R419" i="1"/>
  <c r="Q419" i="1"/>
  <c r="P419" i="1"/>
  <c r="O419" i="1"/>
  <c r="N419" i="1"/>
  <c r="M419" i="1"/>
  <c r="U419" i="1" s="1"/>
  <c r="L419" i="1"/>
  <c r="F419" i="1"/>
  <c r="G419" i="1" s="1"/>
  <c r="E419" i="1"/>
  <c r="C419" i="1"/>
  <c r="B419" i="1"/>
  <c r="A419" i="1"/>
  <c r="AP418" i="1"/>
  <c r="AO418" i="1"/>
  <c r="AR418" i="1" s="1"/>
  <c r="AL418" i="1"/>
  <c r="AK418" i="1"/>
  <c r="AN418" i="1" s="1"/>
  <c r="AE418" i="1"/>
  <c r="AC418" i="1"/>
  <c r="AB418" i="1"/>
  <c r="AA418" i="1"/>
  <c r="Y418" i="1"/>
  <c r="X418" i="1"/>
  <c r="T418" i="1"/>
  <c r="S418" i="1"/>
  <c r="R418" i="1"/>
  <c r="Q418" i="1"/>
  <c r="P418" i="1"/>
  <c r="O418" i="1"/>
  <c r="N418" i="1"/>
  <c r="M418" i="1"/>
  <c r="U418" i="1" s="1"/>
  <c r="L418" i="1"/>
  <c r="F418" i="1"/>
  <c r="G418" i="1" s="1"/>
  <c r="E418" i="1"/>
  <c r="C418" i="1"/>
  <c r="B418" i="1"/>
  <c r="A418" i="1"/>
  <c r="AP417" i="1"/>
  <c r="AO417" i="1"/>
  <c r="AR417" i="1" s="1"/>
  <c r="AL417" i="1"/>
  <c r="AK417" i="1"/>
  <c r="AN417" i="1" s="1"/>
  <c r="AE417" i="1"/>
  <c r="AC417" i="1"/>
  <c r="AB417" i="1"/>
  <c r="AA417" i="1"/>
  <c r="Y417" i="1"/>
  <c r="X417" i="1"/>
  <c r="T417" i="1"/>
  <c r="S417" i="1"/>
  <c r="R417" i="1"/>
  <c r="Q417" i="1"/>
  <c r="P417" i="1"/>
  <c r="O417" i="1"/>
  <c r="N417" i="1"/>
  <c r="M417" i="1"/>
  <c r="U417" i="1" s="1"/>
  <c r="L417" i="1"/>
  <c r="F417" i="1"/>
  <c r="G417" i="1" s="1"/>
  <c r="E417" i="1"/>
  <c r="C417" i="1"/>
  <c r="B417" i="1"/>
  <c r="A417" i="1"/>
  <c r="AP416" i="1"/>
  <c r="AO416" i="1"/>
  <c r="AR416" i="1" s="1"/>
  <c r="AL416" i="1"/>
  <c r="AK416" i="1"/>
  <c r="AN416" i="1" s="1"/>
  <c r="AE416" i="1"/>
  <c r="AC416" i="1"/>
  <c r="AB416" i="1"/>
  <c r="AA416" i="1"/>
  <c r="Y416" i="1"/>
  <c r="X416" i="1"/>
  <c r="T416" i="1"/>
  <c r="S416" i="1"/>
  <c r="R416" i="1"/>
  <c r="Q416" i="1"/>
  <c r="P416" i="1"/>
  <c r="O416" i="1"/>
  <c r="N416" i="1"/>
  <c r="M416" i="1"/>
  <c r="U416" i="1" s="1"/>
  <c r="L416" i="1"/>
  <c r="F416" i="1"/>
  <c r="G416" i="1" s="1"/>
  <c r="E416" i="1"/>
  <c r="C416" i="1"/>
  <c r="B416" i="1"/>
  <c r="A416" i="1"/>
  <c r="AP415" i="1"/>
  <c r="AO415" i="1"/>
  <c r="AR415" i="1" s="1"/>
  <c r="AL415" i="1"/>
  <c r="AK415" i="1"/>
  <c r="AN415" i="1" s="1"/>
  <c r="AE415" i="1"/>
  <c r="AC415" i="1"/>
  <c r="AB415" i="1"/>
  <c r="AA415" i="1"/>
  <c r="Y415" i="1"/>
  <c r="X415" i="1"/>
  <c r="T415" i="1"/>
  <c r="S415" i="1"/>
  <c r="R415" i="1"/>
  <c r="Q415" i="1"/>
  <c r="P415" i="1"/>
  <c r="O415" i="1"/>
  <c r="N415" i="1"/>
  <c r="M415" i="1"/>
  <c r="U415" i="1" s="1"/>
  <c r="L415" i="1"/>
  <c r="F415" i="1"/>
  <c r="G415" i="1" s="1"/>
  <c r="E415" i="1"/>
  <c r="C415" i="1"/>
  <c r="B415" i="1"/>
  <c r="A415" i="1"/>
  <c r="AP414" i="1"/>
  <c r="AO414" i="1"/>
  <c r="AL414" i="1"/>
  <c r="AK414" i="1"/>
  <c r="AE414" i="1"/>
  <c r="AC414" i="1"/>
  <c r="AB414" i="1"/>
  <c r="AA414" i="1"/>
  <c r="Y414" i="1"/>
  <c r="X414" i="1"/>
  <c r="T414" i="1"/>
  <c r="S414" i="1"/>
  <c r="R414" i="1"/>
  <c r="Q414" i="1"/>
  <c r="P414" i="1"/>
  <c r="O414" i="1"/>
  <c r="N414" i="1"/>
  <c r="M414" i="1"/>
  <c r="U414" i="1" s="1"/>
  <c r="K414" i="1"/>
  <c r="L414" i="1" s="1"/>
  <c r="F414" i="1"/>
  <c r="G414" i="1" s="1"/>
  <c r="E414" i="1"/>
  <c r="C414" i="1"/>
  <c r="B414" i="1"/>
  <c r="A414" i="1"/>
  <c r="AP413" i="1"/>
  <c r="AO413" i="1"/>
  <c r="AR413" i="1" s="1"/>
  <c r="AL413" i="1"/>
  <c r="AK413" i="1"/>
  <c r="AN413" i="1" s="1"/>
  <c r="AE413" i="1"/>
  <c r="AC413" i="1"/>
  <c r="AB413" i="1"/>
  <c r="AA413" i="1"/>
  <c r="Y413" i="1"/>
  <c r="X413" i="1"/>
  <c r="T413" i="1"/>
  <c r="S413" i="1"/>
  <c r="R413" i="1"/>
  <c r="Q413" i="1"/>
  <c r="P413" i="1"/>
  <c r="O413" i="1"/>
  <c r="N413" i="1"/>
  <c r="M413" i="1"/>
  <c r="U413" i="1" s="1"/>
  <c r="L413" i="1"/>
  <c r="F413" i="1"/>
  <c r="G413" i="1" s="1"/>
  <c r="E413" i="1"/>
  <c r="C413" i="1"/>
  <c r="B413" i="1"/>
  <c r="A413" i="1"/>
  <c r="AP412" i="1"/>
  <c r="AO412" i="1"/>
  <c r="AR412" i="1" s="1"/>
  <c r="AL412" i="1"/>
  <c r="AK412" i="1"/>
  <c r="AN412" i="1" s="1"/>
  <c r="AE412" i="1"/>
  <c r="AC412" i="1"/>
  <c r="AB412" i="1"/>
  <c r="AA412" i="1"/>
  <c r="Y412" i="1"/>
  <c r="X412" i="1"/>
  <c r="T412" i="1"/>
  <c r="S412" i="1"/>
  <c r="R412" i="1"/>
  <c r="Q412" i="1"/>
  <c r="P412" i="1"/>
  <c r="O412" i="1"/>
  <c r="N412" i="1"/>
  <c r="M412" i="1"/>
  <c r="U412" i="1" s="1"/>
  <c r="L412" i="1"/>
  <c r="F412" i="1"/>
  <c r="G412" i="1" s="1"/>
  <c r="E412" i="1"/>
  <c r="C412" i="1"/>
  <c r="B412" i="1"/>
  <c r="A412" i="1"/>
  <c r="AQ411" i="1"/>
  <c r="AR411" i="1" s="1"/>
  <c r="AP411" i="1"/>
  <c r="AO411" i="1"/>
  <c r="AN411" i="1"/>
  <c r="AL411" i="1"/>
  <c r="AK411" i="1"/>
  <c r="AE411" i="1"/>
  <c r="AC411" i="1"/>
  <c r="AB411" i="1"/>
  <c r="AA411" i="1"/>
  <c r="Y411" i="1"/>
  <c r="X411" i="1"/>
  <c r="T411" i="1"/>
  <c r="S411" i="1"/>
  <c r="R411" i="1"/>
  <c r="Q411" i="1"/>
  <c r="P411" i="1"/>
  <c r="O411" i="1"/>
  <c r="N411" i="1"/>
  <c r="M411" i="1"/>
  <c r="U411" i="1" s="1"/>
  <c r="L411" i="1"/>
  <c r="F411" i="1"/>
  <c r="G411" i="1" s="1"/>
  <c r="E411" i="1"/>
  <c r="C411" i="1"/>
  <c r="B411" i="1"/>
  <c r="A411" i="1"/>
  <c r="AP410" i="1"/>
  <c r="AO410" i="1"/>
  <c r="AR410" i="1" s="1"/>
  <c r="AL410" i="1"/>
  <c r="AK410" i="1"/>
  <c r="AN410" i="1" s="1"/>
  <c r="AE410" i="1"/>
  <c r="AC410" i="1"/>
  <c r="AB410" i="1"/>
  <c r="AA410" i="1"/>
  <c r="Y410" i="1"/>
  <c r="X410" i="1"/>
  <c r="T410" i="1"/>
  <c r="S410" i="1"/>
  <c r="R410" i="1"/>
  <c r="Q410" i="1"/>
  <c r="P410" i="1"/>
  <c r="O410" i="1"/>
  <c r="N410" i="1"/>
  <c r="M410" i="1"/>
  <c r="U410" i="1" s="1"/>
  <c r="L410" i="1"/>
  <c r="F410" i="1"/>
  <c r="G410" i="1" s="1"/>
  <c r="E410" i="1"/>
  <c r="C410" i="1"/>
  <c r="B410" i="1"/>
  <c r="A410" i="1"/>
  <c r="AQ409" i="1"/>
  <c r="AR409" i="1" s="1"/>
  <c r="AP409" i="1"/>
  <c r="AO409" i="1"/>
  <c r="AN409" i="1"/>
  <c r="AL409" i="1"/>
  <c r="AK409" i="1"/>
  <c r="AE409" i="1"/>
  <c r="AC409" i="1"/>
  <c r="AB409" i="1"/>
  <c r="AA409" i="1"/>
  <c r="Y409" i="1"/>
  <c r="X409" i="1"/>
  <c r="T409" i="1"/>
  <c r="S409" i="1"/>
  <c r="R409" i="1"/>
  <c r="Q409" i="1"/>
  <c r="P409" i="1"/>
  <c r="O409" i="1"/>
  <c r="N409" i="1"/>
  <c r="M409" i="1"/>
  <c r="U409" i="1" s="1"/>
  <c r="L409" i="1"/>
  <c r="F409" i="1"/>
  <c r="G409" i="1" s="1"/>
  <c r="E409" i="1"/>
  <c r="C409" i="1"/>
  <c r="B409" i="1"/>
  <c r="A409" i="1"/>
  <c r="AQ408" i="1"/>
  <c r="AR408" i="1" s="1"/>
  <c r="AP408" i="1"/>
  <c r="AO408" i="1"/>
  <c r="AN408" i="1"/>
  <c r="AL408" i="1"/>
  <c r="AK408" i="1"/>
  <c r="AE408" i="1"/>
  <c r="AC408" i="1"/>
  <c r="AB408" i="1"/>
  <c r="AA408" i="1"/>
  <c r="Y408" i="1"/>
  <c r="X408" i="1"/>
  <c r="T408" i="1"/>
  <c r="S408" i="1"/>
  <c r="R408" i="1"/>
  <c r="Q408" i="1"/>
  <c r="P408" i="1"/>
  <c r="O408" i="1"/>
  <c r="N408" i="1"/>
  <c r="M408" i="1"/>
  <c r="U408" i="1" s="1"/>
  <c r="L408" i="1"/>
  <c r="F408" i="1"/>
  <c r="G408" i="1" s="1"/>
  <c r="E408" i="1"/>
  <c r="C408" i="1"/>
  <c r="B408" i="1"/>
  <c r="A408" i="1"/>
  <c r="AP407" i="1"/>
  <c r="AO407" i="1"/>
  <c r="AL407" i="1"/>
  <c r="AK407" i="1"/>
  <c r="AE407" i="1"/>
  <c r="AC407" i="1"/>
  <c r="AB407" i="1"/>
  <c r="AA407" i="1"/>
  <c r="Y407" i="1"/>
  <c r="X407" i="1"/>
  <c r="T407" i="1"/>
  <c r="S407" i="1"/>
  <c r="R407" i="1"/>
  <c r="Q407" i="1"/>
  <c r="P407" i="1"/>
  <c r="O407" i="1"/>
  <c r="N407" i="1"/>
  <c r="M407" i="1"/>
  <c r="U407" i="1" s="1"/>
  <c r="K407" i="1"/>
  <c r="L407" i="1" s="1"/>
  <c r="F407" i="1"/>
  <c r="G407" i="1" s="1"/>
  <c r="E407" i="1"/>
  <c r="C407" i="1"/>
  <c r="B407" i="1"/>
  <c r="A407" i="1"/>
  <c r="AP406" i="1"/>
  <c r="AO406" i="1"/>
  <c r="AR406" i="1" s="1"/>
  <c r="AL406" i="1"/>
  <c r="AK406" i="1"/>
  <c r="AN406" i="1" s="1"/>
  <c r="AE406" i="1"/>
  <c r="AC406" i="1"/>
  <c r="AB406" i="1"/>
  <c r="AA406" i="1"/>
  <c r="Y406" i="1"/>
  <c r="X406" i="1"/>
  <c r="V406" i="1"/>
  <c r="T406" i="1"/>
  <c r="S406" i="1"/>
  <c r="R406" i="1"/>
  <c r="Q406" i="1"/>
  <c r="P406" i="1"/>
  <c r="O406" i="1"/>
  <c r="N406" i="1"/>
  <c r="M406" i="1"/>
  <c r="U406" i="1" s="1"/>
  <c r="L406" i="1"/>
  <c r="F406" i="1"/>
  <c r="G406" i="1" s="1"/>
  <c r="E406" i="1"/>
  <c r="C406" i="1"/>
  <c r="B406" i="1"/>
  <c r="A406" i="1"/>
  <c r="AQ405" i="1"/>
  <c r="AR405" i="1" s="1"/>
  <c r="AP405" i="1"/>
  <c r="AO405" i="1"/>
  <c r="AN405" i="1"/>
  <c r="AL405" i="1"/>
  <c r="AK405" i="1"/>
  <c r="AE405" i="1"/>
  <c r="AC405" i="1"/>
  <c r="AB405" i="1"/>
  <c r="AA405" i="1"/>
  <c r="Y405" i="1"/>
  <c r="X405" i="1"/>
  <c r="V405" i="1"/>
  <c r="T405" i="1"/>
  <c r="S405" i="1"/>
  <c r="R405" i="1"/>
  <c r="Q405" i="1"/>
  <c r="P405" i="1"/>
  <c r="O405" i="1"/>
  <c r="N405" i="1"/>
  <c r="M405" i="1"/>
  <c r="U405" i="1" s="1"/>
  <c r="L405" i="1"/>
  <c r="F405" i="1"/>
  <c r="G405" i="1" s="1"/>
  <c r="E405" i="1"/>
  <c r="C405" i="1"/>
  <c r="B405" i="1"/>
  <c r="A405" i="1"/>
  <c r="AQ404" i="1"/>
  <c r="AR404" i="1" s="1"/>
  <c r="AP404" i="1"/>
  <c r="AO404" i="1"/>
  <c r="AN404" i="1"/>
  <c r="AL404" i="1"/>
  <c r="AK404" i="1"/>
  <c r="AE404" i="1"/>
  <c r="AC404" i="1"/>
  <c r="AB404" i="1"/>
  <c r="AA404" i="1"/>
  <c r="Y404" i="1"/>
  <c r="X404" i="1"/>
  <c r="V404" i="1"/>
  <c r="T404" i="1"/>
  <c r="S404" i="1"/>
  <c r="R404" i="1"/>
  <c r="Q404" i="1"/>
  <c r="P404" i="1"/>
  <c r="O404" i="1"/>
  <c r="N404" i="1"/>
  <c r="M404" i="1"/>
  <c r="U404" i="1" s="1"/>
  <c r="L404" i="1"/>
  <c r="F404" i="1"/>
  <c r="G404" i="1" s="1"/>
  <c r="E404" i="1"/>
  <c r="C404" i="1"/>
  <c r="B404" i="1"/>
  <c r="A404" i="1"/>
  <c r="AP403" i="1"/>
  <c r="AO403" i="1"/>
  <c r="AL403" i="1"/>
  <c r="AK403" i="1"/>
  <c r="AE403" i="1"/>
  <c r="AC403" i="1"/>
  <c r="AB403" i="1"/>
  <c r="AA403" i="1"/>
  <c r="Y403" i="1"/>
  <c r="X403" i="1"/>
  <c r="V403" i="1"/>
  <c r="T403" i="1"/>
  <c r="S403" i="1"/>
  <c r="R403" i="1"/>
  <c r="Q403" i="1"/>
  <c r="P403" i="1"/>
  <c r="O403" i="1"/>
  <c r="N403" i="1"/>
  <c r="M403" i="1"/>
  <c r="U403" i="1" s="1"/>
  <c r="K403" i="1"/>
  <c r="L403" i="1" s="1"/>
  <c r="F403" i="1"/>
  <c r="G403" i="1" s="1"/>
  <c r="E403" i="1"/>
  <c r="C403" i="1"/>
  <c r="B403" i="1"/>
  <c r="A403" i="1"/>
  <c r="AP402" i="1"/>
  <c r="AO402" i="1"/>
  <c r="AR402" i="1" s="1"/>
  <c r="AL402" i="1"/>
  <c r="AK402" i="1"/>
  <c r="AN402" i="1" s="1"/>
  <c r="AE402" i="1"/>
  <c r="AC402" i="1"/>
  <c r="AB402" i="1"/>
  <c r="AA402" i="1"/>
  <c r="Y402" i="1"/>
  <c r="X402" i="1"/>
  <c r="V402" i="1"/>
  <c r="T402" i="1"/>
  <c r="S402" i="1"/>
  <c r="R402" i="1"/>
  <c r="Q402" i="1"/>
  <c r="P402" i="1"/>
  <c r="O402" i="1"/>
  <c r="N402" i="1"/>
  <c r="M402" i="1"/>
  <c r="U402" i="1" s="1"/>
  <c r="L402" i="1"/>
  <c r="F402" i="1"/>
  <c r="G402" i="1" s="1"/>
  <c r="E402" i="1"/>
  <c r="C402" i="1"/>
  <c r="B402" i="1"/>
  <c r="A402" i="1"/>
  <c r="AQ401" i="1"/>
  <c r="AR401" i="1" s="1"/>
  <c r="AP401" i="1"/>
  <c r="AO401" i="1"/>
  <c r="AN401" i="1"/>
  <c r="AL401" i="1"/>
  <c r="AK401" i="1"/>
  <c r="AE401" i="1"/>
  <c r="AC401" i="1"/>
  <c r="AB401" i="1"/>
  <c r="AA401" i="1"/>
  <c r="Y401" i="1"/>
  <c r="X401" i="1"/>
  <c r="V401" i="1"/>
  <c r="T401" i="1"/>
  <c r="S401" i="1"/>
  <c r="R401" i="1"/>
  <c r="Q401" i="1"/>
  <c r="P401" i="1"/>
  <c r="O401" i="1"/>
  <c r="N401" i="1"/>
  <c r="M401" i="1"/>
  <c r="U401" i="1" s="1"/>
  <c r="L401" i="1"/>
  <c r="F401" i="1"/>
  <c r="G401" i="1" s="1"/>
  <c r="E401" i="1"/>
  <c r="C401" i="1"/>
  <c r="B401" i="1"/>
  <c r="A401" i="1"/>
  <c r="AP400" i="1"/>
  <c r="AO400" i="1"/>
  <c r="AL400" i="1"/>
  <c r="AK400" i="1"/>
  <c r="AE400" i="1"/>
  <c r="AC400" i="1"/>
  <c r="AB400" i="1"/>
  <c r="AA400" i="1"/>
  <c r="Y400" i="1"/>
  <c r="X400" i="1"/>
  <c r="V400" i="1"/>
  <c r="T400" i="1"/>
  <c r="S400" i="1"/>
  <c r="R400" i="1"/>
  <c r="Q400" i="1"/>
  <c r="P400" i="1"/>
  <c r="O400" i="1"/>
  <c r="N400" i="1"/>
  <c r="M400" i="1"/>
  <c r="U400" i="1" s="1"/>
  <c r="K400" i="1"/>
  <c r="L400" i="1" s="1"/>
  <c r="F400" i="1"/>
  <c r="E400" i="1"/>
  <c r="C400" i="1"/>
  <c r="B400" i="1"/>
  <c r="AP399" i="1"/>
  <c r="AO399" i="1"/>
  <c r="AR399" i="1" s="1"/>
  <c r="AL399" i="1"/>
  <c r="AK399" i="1"/>
  <c r="AN399" i="1" s="1"/>
  <c r="AE399" i="1"/>
  <c r="AC399" i="1"/>
  <c r="AB399" i="1"/>
  <c r="AA399" i="1"/>
  <c r="Y399" i="1"/>
  <c r="X399" i="1"/>
  <c r="V399" i="1"/>
  <c r="T399" i="1"/>
  <c r="S399" i="1"/>
  <c r="R399" i="1"/>
  <c r="Q399" i="1"/>
  <c r="P399" i="1"/>
  <c r="O399" i="1"/>
  <c r="N399" i="1"/>
  <c r="M399" i="1"/>
  <c r="U399" i="1" s="1"/>
  <c r="L399" i="1"/>
  <c r="F399" i="1"/>
  <c r="E399" i="1"/>
  <c r="C399" i="1"/>
  <c r="B399" i="1"/>
  <c r="AP398" i="1"/>
  <c r="AO398" i="1"/>
  <c r="AR398" i="1" s="1"/>
  <c r="AL398" i="1"/>
  <c r="AK398" i="1"/>
  <c r="AN398" i="1" s="1"/>
  <c r="AE398" i="1"/>
  <c r="AC398" i="1"/>
  <c r="AB398" i="1"/>
  <c r="AA398" i="1"/>
  <c r="Y398" i="1"/>
  <c r="X398" i="1"/>
  <c r="V398" i="1"/>
  <c r="T398" i="1"/>
  <c r="S398" i="1"/>
  <c r="R398" i="1"/>
  <c r="Q398" i="1"/>
  <c r="P398" i="1"/>
  <c r="O398" i="1"/>
  <c r="N398" i="1"/>
  <c r="M398" i="1"/>
  <c r="U398" i="1" s="1"/>
  <c r="L398" i="1"/>
  <c r="F398" i="1"/>
  <c r="E398" i="1"/>
  <c r="C398" i="1"/>
  <c r="B398" i="1"/>
  <c r="AP397" i="1"/>
  <c r="AO397" i="1"/>
  <c r="AR397" i="1" s="1"/>
  <c r="AL397" i="1"/>
  <c r="AK397" i="1"/>
  <c r="AN397" i="1" s="1"/>
  <c r="AE397" i="1"/>
  <c r="AC397" i="1"/>
  <c r="AB397" i="1"/>
  <c r="AA397" i="1"/>
  <c r="Y397" i="1"/>
  <c r="X397" i="1"/>
  <c r="V397" i="1"/>
  <c r="T397" i="1"/>
  <c r="S397" i="1"/>
  <c r="R397" i="1"/>
  <c r="Q397" i="1"/>
  <c r="P397" i="1"/>
  <c r="O397" i="1"/>
  <c r="N397" i="1"/>
  <c r="M397" i="1"/>
  <c r="U397" i="1" s="1"/>
  <c r="L397" i="1"/>
  <c r="F397" i="1"/>
  <c r="E397" i="1"/>
  <c r="C397" i="1"/>
  <c r="B397" i="1"/>
  <c r="AP396" i="1"/>
  <c r="AO396" i="1"/>
  <c r="AR396" i="1" s="1"/>
  <c r="AL396" i="1"/>
  <c r="AK396" i="1"/>
  <c r="AN396" i="1" s="1"/>
  <c r="AE396" i="1"/>
  <c r="AC396" i="1"/>
  <c r="AB396" i="1"/>
  <c r="AA396" i="1"/>
  <c r="Y396" i="1"/>
  <c r="X396" i="1"/>
  <c r="V396" i="1"/>
  <c r="T396" i="1"/>
  <c r="S396" i="1"/>
  <c r="R396" i="1"/>
  <c r="Q396" i="1"/>
  <c r="P396" i="1"/>
  <c r="O396" i="1"/>
  <c r="N396" i="1"/>
  <c r="M396" i="1"/>
  <c r="U396" i="1" s="1"/>
  <c r="L396" i="1"/>
  <c r="F396" i="1"/>
  <c r="E396" i="1"/>
  <c r="C396" i="1"/>
  <c r="B396" i="1"/>
  <c r="AP395" i="1"/>
  <c r="AO395" i="1"/>
  <c r="AR395" i="1" s="1"/>
  <c r="AL395" i="1"/>
  <c r="AK395" i="1"/>
  <c r="AN395" i="1" s="1"/>
  <c r="AE395" i="1"/>
  <c r="AC395" i="1"/>
  <c r="AB395" i="1"/>
  <c r="AA395" i="1"/>
  <c r="Y395" i="1"/>
  <c r="X395" i="1"/>
  <c r="V395" i="1"/>
  <c r="T395" i="1"/>
  <c r="S395" i="1"/>
  <c r="R395" i="1"/>
  <c r="Q395" i="1"/>
  <c r="P395" i="1"/>
  <c r="O395" i="1"/>
  <c r="N395" i="1"/>
  <c r="M395" i="1"/>
  <c r="U395" i="1" s="1"/>
  <c r="L395" i="1"/>
  <c r="F395" i="1"/>
  <c r="E395" i="1"/>
  <c r="C395" i="1"/>
  <c r="B395" i="1"/>
  <c r="AQ394" i="1"/>
  <c r="AR394" i="1" s="1"/>
  <c r="AP394" i="1"/>
  <c r="AO394" i="1"/>
  <c r="AN394" i="1"/>
  <c r="AL394" i="1"/>
  <c r="AK394" i="1"/>
  <c r="AE394" i="1"/>
  <c r="AC394" i="1"/>
  <c r="AB394" i="1"/>
  <c r="AA394" i="1"/>
  <c r="Y394" i="1"/>
  <c r="X394" i="1"/>
  <c r="V394" i="1"/>
  <c r="T394" i="1"/>
  <c r="S394" i="1"/>
  <c r="R394" i="1"/>
  <c r="Q394" i="1"/>
  <c r="P394" i="1"/>
  <c r="O394" i="1"/>
  <c r="N394" i="1"/>
  <c r="M394" i="1"/>
  <c r="U394" i="1" s="1"/>
  <c r="L394" i="1"/>
  <c r="F394" i="1"/>
  <c r="E394" i="1"/>
  <c r="C394" i="1"/>
  <c r="B394" i="1"/>
  <c r="AP393" i="1"/>
  <c r="AO393" i="1"/>
  <c r="AL393" i="1"/>
  <c r="AK393" i="1"/>
  <c r="AE393" i="1"/>
  <c r="AC393" i="1"/>
  <c r="AB393" i="1"/>
  <c r="AA393" i="1"/>
  <c r="Y393" i="1"/>
  <c r="X393" i="1"/>
  <c r="V393" i="1"/>
  <c r="T393" i="1"/>
  <c r="S393" i="1"/>
  <c r="R393" i="1"/>
  <c r="Q393" i="1"/>
  <c r="P393" i="1"/>
  <c r="O393" i="1"/>
  <c r="N393" i="1"/>
  <c r="M393" i="1"/>
  <c r="U393" i="1" s="1"/>
  <c r="K393" i="1"/>
  <c r="L393" i="1" s="1"/>
  <c r="F393" i="1"/>
  <c r="G393" i="1" s="1"/>
  <c r="E393" i="1"/>
  <c r="C393" i="1"/>
  <c r="B393" i="1"/>
  <c r="A393" i="1"/>
  <c r="AP392" i="1"/>
  <c r="AO392" i="1"/>
  <c r="AR392" i="1" s="1"/>
  <c r="AL392" i="1"/>
  <c r="AK392" i="1"/>
  <c r="AN392" i="1" s="1"/>
  <c r="AE392" i="1"/>
  <c r="AC392" i="1"/>
  <c r="AB392" i="1"/>
  <c r="AA392" i="1"/>
  <c r="Y392" i="1"/>
  <c r="X392" i="1"/>
  <c r="V392" i="1"/>
  <c r="T392" i="1"/>
  <c r="S392" i="1"/>
  <c r="R392" i="1"/>
  <c r="Q392" i="1"/>
  <c r="P392" i="1"/>
  <c r="O392" i="1"/>
  <c r="N392" i="1"/>
  <c r="M392" i="1"/>
  <c r="U392" i="1" s="1"/>
  <c r="L392" i="1"/>
  <c r="F392" i="1"/>
  <c r="G392" i="1" s="1"/>
  <c r="E392" i="1"/>
  <c r="C392" i="1"/>
  <c r="B392" i="1"/>
  <c r="A392" i="1"/>
  <c r="AP391" i="1"/>
  <c r="AO391" i="1"/>
  <c r="AR391" i="1" s="1"/>
  <c r="AL391" i="1"/>
  <c r="AK391" i="1"/>
  <c r="AN391" i="1" s="1"/>
  <c r="AE391" i="1"/>
  <c r="AC391" i="1"/>
  <c r="AB391" i="1"/>
  <c r="AA391" i="1"/>
  <c r="Y391" i="1"/>
  <c r="X391" i="1"/>
  <c r="V391" i="1"/>
  <c r="T391" i="1"/>
  <c r="S391" i="1"/>
  <c r="R391" i="1"/>
  <c r="Q391" i="1"/>
  <c r="P391" i="1"/>
  <c r="O391" i="1"/>
  <c r="N391" i="1"/>
  <c r="M391" i="1"/>
  <c r="U391" i="1" s="1"/>
  <c r="L391" i="1"/>
  <c r="F391" i="1"/>
  <c r="G391" i="1" s="1"/>
  <c r="E391" i="1"/>
  <c r="C391" i="1"/>
  <c r="B391" i="1"/>
  <c r="A391" i="1"/>
  <c r="AP390" i="1"/>
  <c r="AO390" i="1"/>
  <c r="AR390" i="1" s="1"/>
  <c r="AL390" i="1"/>
  <c r="AK390" i="1"/>
  <c r="AN390" i="1" s="1"/>
  <c r="AE390" i="1"/>
  <c r="AC390" i="1"/>
  <c r="AB390" i="1"/>
  <c r="AA390" i="1"/>
  <c r="Y390" i="1"/>
  <c r="X390" i="1"/>
  <c r="V390" i="1"/>
  <c r="T390" i="1"/>
  <c r="S390" i="1"/>
  <c r="R390" i="1"/>
  <c r="Q390" i="1"/>
  <c r="P390" i="1"/>
  <c r="O390" i="1"/>
  <c r="N390" i="1"/>
  <c r="M390" i="1"/>
  <c r="U390" i="1" s="1"/>
  <c r="L390" i="1"/>
  <c r="F390" i="1"/>
  <c r="G390" i="1" s="1"/>
  <c r="E390" i="1"/>
  <c r="C390" i="1"/>
  <c r="B390" i="1"/>
  <c r="A390" i="1"/>
  <c r="AP389" i="1"/>
  <c r="AO389" i="1"/>
  <c r="AR389" i="1" s="1"/>
  <c r="AL389" i="1"/>
  <c r="AK389" i="1"/>
  <c r="AN389" i="1" s="1"/>
  <c r="AE389" i="1"/>
  <c r="AC389" i="1"/>
  <c r="AB389" i="1"/>
  <c r="AA389" i="1"/>
  <c r="Y389" i="1"/>
  <c r="X389" i="1"/>
  <c r="V389" i="1"/>
  <c r="T389" i="1"/>
  <c r="S389" i="1"/>
  <c r="R389" i="1"/>
  <c r="Q389" i="1"/>
  <c r="P389" i="1"/>
  <c r="O389" i="1"/>
  <c r="N389" i="1"/>
  <c r="M389" i="1"/>
  <c r="U389" i="1" s="1"/>
  <c r="L389" i="1"/>
  <c r="F389" i="1"/>
  <c r="G389" i="1" s="1"/>
  <c r="E389" i="1"/>
  <c r="C389" i="1"/>
  <c r="B389" i="1"/>
  <c r="A389" i="1"/>
  <c r="AQ388" i="1"/>
  <c r="AR388" i="1" s="1"/>
  <c r="AP388" i="1"/>
  <c r="AO388" i="1"/>
  <c r="AN388" i="1"/>
  <c r="AL388" i="1"/>
  <c r="AK388" i="1"/>
  <c r="AE388" i="1"/>
  <c r="AC388" i="1"/>
  <c r="AB388" i="1"/>
  <c r="AA388" i="1"/>
  <c r="Y388" i="1"/>
  <c r="X388" i="1"/>
  <c r="V388" i="1"/>
  <c r="T388" i="1"/>
  <c r="S388" i="1"/>
  <c r="R388" i="1"/>
  <c r="Q388" i="1"/>
  <c r="P388" i="1"/>
  <c r="O388" i="1"/>
  <c r="N388" i="1"/>
  <c r="M388" i="1"/>
  <c r="U388" i="1" s="1"/>
  <c r="L388" i="1"/>
  <c r="F388" i="1"/>
  <c r="G388" i="1" s="1"/>
  <c r="E388" i="1"/>
  <c r="C388" i="1"/>
  <c r="B388" i="1"/>
  <c r="A388" i="1"/>
  <c r="AQ387" i="1"/>
  <c r="AR387" i="1" s="1"/>
  <c r="AP387" i="1"/>
  <c r="AO387" i="1"/>
  <c r="AN387" i="1"/>
  <c r="AL387" i="1"/>
  <c r="AK387" i="1"/>
  <c r="AE387" i="1"/>
  <c r="AC387" i="1"/>
  <c r="AB387" i="1"/>
  <c r="AA387" i="1"/>
  <c r="Y387" i="1"/>
  <c r="X387" i="1"/>
  <c r="V387" i="1"/>
  <c r="T387" i="1"/>
  <c r="S387" i="1"/>
  <c r="R387" i="1"/>
  <c r="Q387" i="1"/>
  <c r="P387" i="1"/>
  <c r="O387" i="1"/>
  <c r="N387" i="1"/>
  <c r="M387" i="1"/>
  <c r="U387" i="1" s="1"/>
  <c r="L387" i="1"/>
  <c r="F387" i="1"/>
  <c r="G387" i="1" s="1"/>
  <c r="E387" i="1"/>
  <c r="C387" i="1"/>
  <c r="B387" i="1"/>
  <c r="A387" i="1"/>
  <c r="AQ386" i="1"/>
  <c r="AR386" i="1" s="1"/>
  <c r="AP386" i="1"/>
  <c r="AO386" i="1"/>
  <c r="AN386" i="1"/>
  <c r="AL386" i="1"/>
  <c r="AK386" i="1"/>
  <c r="AE386" i="1"/>
  <c r="AC386" i="1"/>
  <c r="AB386" i="1"/>
  <c r="AA386" i="1"/>
  <c r="Y386" i="1"/>
  <c r="X386" i="1"/>
  <c r="V386" i="1"/>
  <c r="T386" i="1"/>
  <c r="S386" i="1"/>
  <c r="R386" i="1"/>
  <c r="Q386" i="1"/>
  <c r="P386" i="1"/>
  <c r="O386" i="1"/>
  <c r="N386" i="1"/>
  <c r="M386" i="1"/>
  <c r="U386" i="1" s="1"/>
  <c r="L386" i="1"/>
  <c r="F386" i="1"/>
  <c r="G386" i="1" s="1"/>
  <c r="E386" i="1"/>
  <c r="C386" i="1"/>
  <c r="B386" i="1"/>
  <c r="A386" i="1"/>
  <c r="AP385" i="1"/>
  <c r="AO385" i="1"/>
  <c r="AL385" i="1"/>
  <c r="AK385" i="1"/>
  <c r="AE385" i="1"/>
  <c r="AC385" i="1"/>
  <c r="AB385" i="1"/>
  <c r="AA385" i="1"/>
  <c r="Y385" i="1"/>
  <c r="X385" i="1"/>
  <c r="V385" i="1"/>
  <c r="T385" i="1"/>
  <c r="S385" i="1"/>
  <c r="R385" i="1"/>
  <c r="Q385" i="1"/>
  <c r="P385" i="1"/>
  <c r="O385" i="1"/>
  <c r="N385" i="1"/>
  <c r="M385" i="1"/>
  <c r="U385" i="1" s="1"/>
  <c r="K385" i="1"/>
  <c r="L385" i="1" s="1"/>
  <c r="F385" i="1"/>
  <c r="E385" i="1"/>
  <c r="C385" i="1"/>
  <c r="B385" i="1"/>
  <c r="AP384" i="1"/>
  <c r="AO384" i="1"/>
  <c r="AR384" i="1" s="1"/>
  <c r="AL384" i="1"/>
  <c r="AK384" i="1"/>
  <c r="AN384" i="1" s="1"/>
  <c r="AE384" i="1"/>
  <c r="AC384" i="1"/>
  <c r="AB384" i="1"/>
  <c r="AA384" i="1"/>
  <c r="Y384" i="1"/>
  <c r="X384" i="1"/>
  <c r="V384" i="1"/>
  <c r="T384" i="1"/>
  <c r="S384" i="1"/>
  <c r="R384" i="1"/>
  <c r="Q384" i="1"/>
  <c r="P384" i="1"/>
  <c r="O384" i="1"/>
  <c r="N384" i="1"/>
  <c r="M384" i="1"/>
  <c r="U384" i="1" s="1"/>
  <c r="L384" i="1"/>
  <c r="F384" i="1"/>
  <c r="G384" i="1" s="1"/>
  <c r="E384" i="1"/>
  <c r="C384" i="1"/>
  <c r="B384" i="1"/>
  <c r="A384" i="1"/>
  <c r="AP383" i="1"/>
  <c r="AO383" i="1"/>
  <c r="AR383" i="1" s="1"/>
  <c r="AL383" i="1"/>
  <c r="AK383" i="1"/>
  <c r="AN383" i="1" s="1"/>
  <c r="AE383" i="1"/>
  <c r="AC383" i="1"/>
  <c r="AB383" i="1"/>
  <c r="AA383" i="1"/>
  <c r="Y383" i="1"/>
  <c r="X383" i="1"/>
  <c r="T383" i="1"/>
  <c r="S383" i="1"/>
  <c r="R383" i="1"/>
  <c r="Q383" i="1"/>
  <c r="P383" i="1"/>
  <c r="O383" i="1"/>
  <c r="N383" i="1"/>
  <c r="M383" i="1"/>
  <c r="U383" i="1" s="1"/>
  <c r="L383" i="1"/>
  <c r="F383" i="1"/>
  <c r="G383" i="1" s="1"/>
  <c r="E383" i="1"/>
  <c r="C383" i="1"/>
  <c r="B383" i="1"/>
  <c r="A383" i="1"/>
  <c r="AP382" i="1"/>
  <c r="AO382" i="1"/>
  <c r="AR382" i="1" s="1"/>
  <c r="AL382" i="1"/>
  <c r="AK382" i="1"/>
  <c r="AN382" i="1" s="1"/>
  <c r="AE382" i="1"/>
  <c r="AC382" i="1"/>
  <c r="AB382" i="1"/>
  <c r="AA382" i="1"/>
  <c r="Y382" i="1"/>
  <c r="X382" i="1"/>
  <c r="T382" i="1"/>
  <c r="S382" i="1"/>
  <c r="R382" i="1"/>
  <c r="Q382" i="1"/>
  <c r="P382" i="1"/>
  <c r="O382" i="1"/>
  <c r="N382" i="1"/>
  <c r="M382" i="1"/>
  <c r="U382" i="1" s="1"/>
  <c r="L382" i="1"/>
  <c r="F382" i="1"/>
  <c r="G382" i="1" s="1"/>
  <c r="E382" i="1"/>
  <c r="C382" i="1"/>
  <c r="B382" i="1"/>
  <c r="A382" i="1"/>
  <c r="AP381" i="1"/>
  <c r="AO381" i="1"/>
  <c r="AL381" i="1"/>
  <c r="AK381" i="1"/>
  <c r="AE381" i="1"/>
  <c r="AC381" i="1"/>
  <c r="AB381" i="1"/>
  <c r="AA381" i="1"/>
  <c r="Y381" i="1"/>
  <c r="X381" i="1"/>
  <c r="T381" i="1"/>
  <c r="S381" i="1"/>
  <c r="R381" i="1"/>
  <c r="Q381" i="1"/>
  <c r="P381" i="1"/>
  <c r="O381" i="1"/>
  <c r="N381" i="1"/>
  <c r="M381" i="1"/>
  <c r="U381" i="1" s="1"/>
  <c r="K381" i="1"/>
  <c r="L381" i="1" s="1"/>
  <c r="F381" i="1"/>
  <c r="G381" i="1" s="1"/>
  <c r="E381" i="1"/>
  <c r="C381" i="1"/>
  <c r="B381" i="1"/>
  <c r="A381" i="1"/>
  <c r="AP380" i="1"/>
  <c r="AO380" i="1"/>
  <c r="AL380" i="1"/>
  <c r="AK380" i="1"/>
  <c r="AE380" i="1"/>
  <c r="AC380" i="1"/>
  <c r="AB380" i="1"/>
  <c r="AA380" i="1"/>
  <c r="Y380" i="1"/>
  <c r="X380" i="1"/>
  <c r="T380" i="1"/>
  <c r="S380" i="1"/>
  <c r="R380" i="1"/>
  <c r="Q380" i="1"/>
  <c r="P380" i="1"/>
  <c r="O380" i="1"/>
  <c r="N380" i="1"/>
  <c r="M380" i="1"/>
  <c r="U380" i="1" s="1"/>
  <c r="K380" i="1"/>
  <c r="L380" i="1" s="1"/>
  <c r="F380" i="1"/>
  <c r="G380" i="1" s="1"/>
  <c r="E380" i="1"/>
  <c r="C380" i="1"/>
  <c r="B380" i="1"/>
  <c r="A380" i="1"/>
  <c r="AP379" i="1"/>
  <c r="AO379" i="1"/>
  <c r="AR379" i="1" s="1"/>
  <c r="AL379" i="1"/>
  <c r="AK379" i="1"/>
  <c r="AN379" i="1" s="1"/>
  <c r="AE379" i="1"/>
  <c r="AC379" i="1"/>
  <c r="AB379" i="1"/>
  <c r="AA379" i="1"/>
  <c r="Y379" i="1"/>
  <c r="X379" i="1"/>
  <c r="T379" i="1"/>
  <c r="S379" i="1"/>
  <c r="R379" i="1"/>
  <c r="Q379" i="1"/>
  <c r="P379" i="1"/>
  <c r="O379" i="1"/>
  <c r="N379" i="1"/>
  <c r="M379" i="1"/>
  <c r="U379" i="1" s="1"/>
  <c r="L379" i="1"/>
  <c r="F379" i="1"/>
  <c r="G379" i="1" s="1"/>
  <c r="E379" i="1"/>
  <c r="C379" i="1"/>
  <c r="B379" i="1"/>
  <c r="A379" i="1"/>
  <c r="AQ378" i="1"/>
  <c r="AR378" i="1" s="1"/>
  <c r="AP378" i="1"/>
  <c r="AO378" i="1"/>
  <c r="AN378" i="1"/>
  <c r="AL378" i="1"/>
  <c r="AK378" i="1"/>
  <c r="AE378" i="1"/>
  <c r="AC378" i="1"/>
  <c r="AB378" i="1"/>
  <c r="AA378" i="1"/>
  <c r="Y378" i="1"/>
  <c r="X378" i="1"/>
  <c r="T378" i="1"/>
  <c r="S378" i="1"/>
  <c r="R378" i="1"/>
  <c r="Q378" i="1"/>
  <c r="P378" i="1"/>
  <c r="O378" i="1"/>
  <c r="N378" i="1"/>
  <c r="M378" i="1"/>
  <c r="U378" i="1" s="1"/>
  <c r="L378" i="1"/>
  <c r="F378" i="1"/>
  <c r="G378" i="1" s="1"/>
  <c r="E378" i="1"/>
  <c r="C378" i="1"/>
  <c r="B378" i="1"/>
  <c r="A378" i="1"/>
  <c r="AQ377" i="1"/>
  <c r="AR377" i="1" s="1"/>
  <c r="AP377" i="1"/>
  <c r="AO377" i="1"/>
  <c r="AN377" i="1"/>
  <c r="AL377" i="1"/>
  <c r="AK377" i="1"/>
  <c r="AE377" i="1"/>
  <c r="AC377" i="1"/>
  <c r="AB377" i="1"/>
  <c r="AA377" i="1"/>
  <c r="Y377" i="1"/>
  <c r="X377" i="1"/>
  <c r="T377" i="1"/>
  <c r="S377" i="1"/>
  <c r="R377" i="1"/>
  <c r="Q377" i="1"/>
  <c r="P377" i="1"/>
  <c r="O377" i="1"/>
  <c r="N377" i="1"/>
  <c r="M377" i="1"/>
  <c r="U377" i="1" s="1"/>
  <c r="L377" i="1"/>
  <c r="F377" i="1"/>
  <c r="G377" i="1" s="1"/>
  <c r="E377" i="1"/>
  <c r="C377" i="1"/>
  <c r="B377" i="1"/>
  <c r="A377" i="1"/>
  <c r="AP376" i="1"/>
  <c r="AO376" i="1"/>
  <c r="AL376" i="1"/>
  <c r="AK376" i="1"/>
  <c r="AE376" i="1"/>
  <c r="AC376" i="1"/>
  <c r="AB376" i="1"/>
  <c r="AA376" i="1"/>
  <c r="Y376" i="1"/>
  <c r="X376" i="1"/>
  <c r="T376" i="1"/>
  <c r="S376" i="1"/>
  <c r="R376" i="1"/>
  <c r="Q376" i="1"/>
  <c r="P376" i="1"/>
  <c r="O376" i="1"/>
  <c r="N376" i="1"/>
  <c r="M376" i="1"/>
  <c r="U376" i="1" s="1"/>
  <c r="K376" i="1"/>
  <c r="L376" i="1" s="1"/>
  <c r="F376" i="1"/>
  <c r="G376" i="1" s="1"/>
  <c r="E376" i="1"/>
  <c r="C376" i="1"/>
  <c r="B376" i="1"/>
  <c r="A376" i="1"/>
  <c r="AP375" i="1"/>
  <c r="AO375" i="1"/>
  <c r="AR375" i="1" s="1"/>
  <c r="AL375" i="1"/>
  <c r="AK375" i="1"/>
  <c r="AN375" i="1" s="1"/>
  <c r="AE375" i="1"/>
  <c r="AC375" i="1"/>
  <c r="AB375" i="1"/>
  <c r="AA375" i="1"/>
  <c r="Y375" i="1"/>
  <c r="X375" i="1"/>
  <c r="T375" i="1"/>
  <c r="S375" i="1"/>
  <c r="R375" i="1"/>
  <c r="Q375" i="1"/>
  <c r="P375" i="1"/>
  <c r="O375" i="1"/>
  <c r="N375" i="1"/>
  <c r="M375" i="1"/>
  <c r="U375" i="1" s="1"/>
  <c r="L375" i="1"/>
  <c r="F375" i="1"/>
  <c r="G375" i="1" s="1"/>
  <c r="E375" i="1"/>
  <c r="C375" i="1"/>
  <c r="B375" i="1"/>
  <c r="A375" i="1"/>
  <c r="AP374" i="1"/>
  <c r="AO374" i="1"/>
  <c r="AR374" i="1" s="1"/>
  <c r="AL374" i="1"/>
  <c r="AK374" i="1"/>
  <c r="AN374" i="1" s="1"/>
  <c r="AE374" i="1"/>
  <c r="AC374" i="1"/>
  <c r="AB374" i="1"/>
  <c r="AA374" i="1"/>
  <c r="Y374" i="1"/>
  <c r="X374" i="1"/>
  <c r="T374" i="1"/>
  <c r="S374" i="1"/>
  <c r="R374" i="1"/>
  <c r="Q374" i="1"/>
  <c r="P374" i="1"/>
  <c r="O374" i="1"/>
  <c r="N374" i="1"/>
  <c r="M374" i="1"/>
  <c r="U374" i="1" s="1"/>
  <c r="L374" i="1"/>
  <c r="F374" i="1"/>
  <c r="G374" i="1" s="1"/>
  <c r="E374" i="1"/>
  <c r="C374" i="1"/>
  <c r="B374" i="1"/>
  <c r="A374" i="1"/>
  <c r="AP373" i="1"/>
  <c r="AO373" i="1"/>
  <c r="AR373" i="1" s="1"/>
  <c r="AL373" i="1"/>
  <c r="AK373" i="1"/>
  <c r="AN373" i="1" s="1"/>
  <c r="AE373" i="1"/>
  <c r="AC373" i="1"/>
  <c r="AB373" i="1"/>
  <c r="AA373" i="1"/>
  <c r="Y373" i="1"/>
  <c r="X373" i="1"/>
  <c r="T373" i="1"/>
  <c r="S373" i="1"/>
  <c r="R373" i="1"/>
  <c r="Q373" i="1"/>
  <c r="P373" i="1"/>
  <c r="O373" i="1"/>
  <c r="N373" i="1"/>
  <c r="M373" i="1"/>
  <c r="U373" i="1" s="1"/>
  <c r="L373" i="1"/>
  <c r="F373" i="1"/>
  <c r="G373" i="1" s="1"/>
  <c r="E373" i="1"/>
  <c r="C373" i="1"/>
  <c r="B373" i="1"/>
  <c r="A373" i="1"/>
  <c r="AP372" i="1"/>
  <c r="AO372" i="1"/>
  <c r="AL372" i="1"/>
  <c r="AK372" i="1"/>
  <c r="AE372" i="1"/>
  <c r="AC372" i="1"/>
  <c r="AB372" i="1"/>
  <c r="AA372" i="1"/>
  <c r="Y372" i="1"/>
  <c r="X372" i="1"/>
  <c r="T372" i="1"/>
  <c r="S372" i="1"/>
  <c r="R372" i="1"/>
  <c r="Q372" i="1"/>
  <c r="P372" i="1"/>
  <c r="O372" i="1"/>
  <c r="N372" i="1"/>
  <c r="M372" i="1"/>
  <c r="U372" i="1" s="1"/>
  <c r="K372" i="1"/>
  <c r="L372" i="1" s="1"/>
  <c r="F372" i="1"/>
  <c r="G372" i="1" s="1"/>
  <c r="E372" i="1"/>
  <c r="C372" i="1"/>
  <c r="B372" i="1"/>
  <c r="A372" i="1"/>
  <c r="AQ371" i="1"/>
  <c r="AR371" i="1" s="1"/>
  <c r="AP371" i="1"/>
  <c r="AO371" i="1"/>
  <c r="AN371" i="1"/>
  <c r="AL371" i="1"/>
  <c r="AK371" i="1"/>
  <c r="AE371" i="1"/>
  <c r="AC371" i="1"/>
  <c r="AB371" i="1"/>
  <c r="AA371" i="1"/>
  <c r="Y371" i="1"/>
  <c r="X371" i="1"/>
  <c r="T371" i="1"/>
  <c r="S371" i="1"/>
  <c r="R371" i="1"/>
  <c r="Q371" i="1"/>
  <c r="P371" i="1"/>
  <c r="O371" i="1"/>
  <c r="N371" i="1"/>
  <c r="M371" i="1"/>
  <c r="U371" i="1" s="1"/>
  <c r="L371" i="1"/>
  <c r="F371" i="1"/>
  <c r="G371" i="1" s="1"/>
  <c r="E371" i="1"/>
  <c r="C371" i="1"/>
  <c r="B371" i="1"/>
  <c r="A371" i="1"/>
  <c r="AP370" i="1"/>
  <c r="AO370" i="1"/>
  <c r="AL370" i="1"/>
  <c r="AK370" i="1"/>
  <c r="AE370" i="1"/>
  <c r="AC370" i="1"/>
  <c r="AB370" i="1"/>
  <c r="AA370" i="1"/>
  <c r="Y370" i="1"/>
  <c r="X370" i="1"/>
  <c r="T370" i="1"/>
  <c r="S370" i="1"/>
  <c r="R370" i="1"/>
  <c r="Q370" i="1"/>
  <c r="P370" i="1"/>
  <c r="O370" i="1"/>
  <c r="N370" i="1"/>
  <c r="M370" i="1"/>
  <c r="U370" i="1" s="1"/>
  <c r="K370" i="1"/>
  <c r="L370" i="1" s="1"/>
  <c r="F370" i="1"/>
  <c r="G370" i="1" s="1"/>
  <c r="E370" i="1"/>
  <c r="C370" i="1"/>
  <c r="B370" i="1"/>
  <c r="A370" i="1"/>
  <c r="AP369" i="1"/>
  <c r="AO369" i="1"/>
  <c r="AR369" i="1" s="1"/>
  <c r="AL369" i="1"/>
  <c r="AK369" i="1"/>
  <c r="AN369" i="1" s="1"/>
  <c r="AE369" i="1"/>
  <c r="AC369" i="1"/>
  <c r="AB369" i="1"/>
  <c r="AA369" i="1"/>
  <c r="Y369" i="1"/>
  <c r="X369" i="1"/>
  <c r="T369" i="1"/>
  <c r="S369" i="1"/>
  <c r="R369" i="1"/>
  <c r="Q369" i="1"/>
  <c r="P369" i="1"/>
  <c r="O369" i="1"/>
  <c r="N369" i="1"/>
  <c r="M369" i="1"/>
  <c r="U369" i="1" s="1"/>
  <c r="L369" i="1"/>
  <c r="F369" i="1"/>
  <c r="G369" i="1" s="1"/>
  <c r="E369" i="1"/>
  <c r="C369" i="1"/>
  <c r="B369" i="1"/>
  <c r="A369" i="1"/>
  <c r="AP368" i="1"/>
  <c r="AO368" i="1"/>
  <c r="AR368" i="1" s="1"/>
  <c r="AL368" i="1"/>
  <c r="AK368" i="1"/>
  <c r="AN368" i="1" s="1"/>
  <c r="AE368" i="1"/>
  <c r="AC368" i="1"/>
  <c r="AB368" i="1"/>
  <c r="AA368" i="1"/>
  <c r="Y368" i="1"/>
  <c r="X368" i="1"/>
  <c r="T368" i="1"/>
  <c r="S368" i="1"/>
  <c r="R368" i="1"/>
  <c r="Q368" i="1"/>
  <c r="P368" i="1"/>
  <c r="O368" i="1"/>
  <c r="N368" i="1"/>
  <c r="M368" i="1"/>
  <c r="U368" i="1" s="1"/>
  <c r="L368" i="1"/>
  <c r="F368" i="1"/>
  <c r="G368" i="1" s="1"/>
  <c r="E368" i="1"/>
  <c r="C368" i="1"/>
  <c r="B368" i="1"/>
  <c r="A368" i="1"/>
  <c r="AP367" i="1"/>
  <c r="AO367" i="1"/>
  <c r="AR367" i="1" s="1"/>
  <c r="AL367" i="1"/>
  <c r="AK367" i="1"/>
  <c r="AN367" i="1" s="1"/>
  <c r="AE367" i="1"/>
  <c r="AC367" i="1"/>
  <c r="AB367" i="1"/>
  <c r="AA367" i="1"/>
  <c r="Y367" i="1"/>
  <c r="X367" i="1"/>
  <c r="T367" i="1"/>
  <c r="S367" i="1"/>
  <c r="R367" i="1"/>
  <c r="Q367" i="1"/>
  <c r="P367" i="1"/>
  <c r="O367" i="1"/>
  <c r="N367" i="1"/>
  <c r="M367" i="1"/>
  <c r="U367" i="1" s="1"/>
  <c r="L367" i="1"/>
  <c r="F367" i="1"/>
  <c r="G367" i="1" s="1"/>
  <c r="E367" i="1"/>
  <c r="C367" i="1"/>
  <c r="B367" i="1"/>
  <c r="A367" i="1"/>
  <c r="AP366" i="1"/>
  <c r="AO366" i="1"/>
  <c r="AL366" i="1"/>
  <c r="AK366" i="1"/>
  <c r="AE366" i="1"/>
  <c r="AC366" i="1"/>
  <c r="AB366" i="1"/>
  <c r="AA366" i="1"/>
  <c r="Y366" i="1"/>
  <c r="X366" i="1"/>
  <c r="T366" i="1"/>
  <c r="S366" i="1"/>
  <c r="R366" i="1"/>
  <c r="Q366" i="1"/>
  <c r="P366" i="1"/>
  <c r="O366" i="1"/>
  <c r="N366" i="1"/>
  <c r="M366" i="1"/>
  <c r="U366" i="1" s="1"/>
  <c r="K366" i="1"/>
  <c r="L366" i="1" s="1"/>
  <c r="F366" i="1"/>
  <c r="G366" i="1" s="1"/>
  <c r="E366" i="1"/>
  <c r="C366" i="1"/>
  <c r="B366" i="1"/>
  <c r="A366" i="1"/>
  <c r="AP365" i="1"/>
  <c r="AO365" i="1"/>
  <c r="AR365" i="1" s="1"/>
  <c r="AL365" i="1"/>
  <c r="AK365" i="1"/>
  <c r="AN365" i="1" s="1"/>
  <c r="AE365" i="1"/>
  <c r="AC365" i="1"/>
  <c r="AB365" i="1"/>
  <c r="AA365" i="1"/>
  <c r="Y365" i="1"/>
  <c r="X365" i="1"/>
  <c r="T365" i="1"/>
  <c r="S365" i="1"/>
  <c r="R365" i="1"/>
  <c r="Q365" i="1"/>
  <c r="P365" i="1"/>
  <c r="O365" i="1"/>
  <c r="N365" i="1"/>
  <c r="M365" i="1"/>
  <c r="U365" i="1" s="1"/>
  <c r="L365" i="1"/>
  <c r="F365" i="1"/>
  <c r="G365" i="1" s="1"/>
  <c r="E365" i="1"/>
  <c r="C365" i="1"/>
  <c r="B365" i="1"/>
  <c r="A365" i="1"/>
  <c r="AQ364" i="1"/>
  <c r="AR364" i="1" s="1"/>
  <c r="AP364" i="1"/>
  <c r="AO364" i="1"/>
  <c r="AM364" i="1"/>
  <c r="AN364" i="1" s="1"/>
  <c r="AL364" i="1"/>
  <c r="AK364" i="1"/>
  <c r="AE364" i="1"/>
  <c r="AC364" i="1"/>
  <c r="AB364" i="1"/>
  <c r="AA364" i="1"/>
  <c r="Y364" i="1"/>
  <c r="X364" i="1"/>
  <c r="T364" i="1"/>
  <c r="S364" i="1"/>
  <c r="R364" i="1"/>
  <c r="Q364" i="1"/>
  <c r="P364" i="1"/>
  <c r="O364" i="1"/>
  <c r="N364" i="1"/>
  <c r="M364" i="1"/>
  <c r="U364" i="1" s="1"/>
  <c r="L364" i="1"/>
  <c r="F364" i="1"/>
  <c r="G364" i="1" s="1"/>
  <c r="E364" i="1"/>
  <c r="C364" i="1"/>
  <c r="B364" i="1"/>
  <c r="A364" i="1"/>
  <c r="AP363" i="1"/>
  <c r="AO363" i="1"/>
  <c r="AR363" i="1" s="1"/>
  <c r="AL363" i="1"/>
  <c r="AK363" i="1"/>
  <c r="AN363" i="1" s="1"/>
  <c r="AE363" i="1"/>
  <c r="AC363" i="1"/>
  <c r="AB363" i="1"/>
  <c r="AA363" i="1"/>
  <c r="Y363" i="1"/>
  <c r="X363" i="1"/>
  <c r="T363" i="1"/>
  <c r="S363" i="1"/>
  <c r="R363" i="1"/>
  <c r="Q363" i="1"/>
  <c r="P363" i="1"/>
  <c r="O363" i="1"/>
  <c r="N363" i="1"/>
  <c r="M363" i="1"/>
  <c r="U363" i="1" s="1"/>
  <c r="L363" i="1"/>
  <c r="F363" i="1"/>
  <c r="G363" i="1" s="1"/>
  <c r="E363" i="1"/>
  <c r="C363" i="1"/>
  <c r="B363" i="1"/>
  <c r="A363" i="1"/>
  <c r="AP362" i="1"/>
  <c r="AO362" i="1"/>
  <c r="AR362" i="1" s="1"/>
  <c r="AL362" i="1"/>
  <c r="AK362" i="1"/>
  <c r="AN362" i="1" s="1"/>
  <c r="AE362" i="1"/>
  <c r="AC362" i="1"/>
  <c r="AB362" i="1"/>
  <c r="AA362" i="1"/>
  <c r="Y362" i="1"/>
  <c r="X362" i="1"/>
  <c r="T362" i="1"/>
  <c r="S362" i="1"/>
  <c r="R362" i="1"/>
  <c r="Q362" i="1"/>
  <c r="P362" i="1"/>
  <c r="O362" i="1"/>
  <c r="N362" i="1"/>
  <c r="M362" i="1"/>
  <c r="U362" i="1" s="1"/>
  <c r="L362" i="1"/>
  <c r="F362" i="1"/>
  <c r="G362" i="1" s="1"/>
  <c r="E362" i="1"/>
  <c r="C362" i="1"/>
  <c r="B362" i="1"/>
  <c r="A362" i="1"/>
  <c r="AP361" i="1"/>
  <c r="AO361" i="1"/>
  <c r="AR361" i="1" s="1"/>
  <c r="AL361" i="1"/>
  <c r="AK361" i="1"/>
  <c r="AN361" i="1" s="1"/>
  <c r="AE361" i="1"/>
  <c r="AC361" i="1"/>
  <c r="AB361" i="1"/>
  <c r="AA361" i="1"/>
  <c r="Y361" i="1"/>
  <c r="X361" i="1"/>
  <c r="T361" i="1"/>
  <c r="S361" i="1"/>
  <c r="R361" i="1"/>
  <c r="Q361" i="1"/>
  <c r="P361" i="1"/>
  <c r="O361" i="1"/>
  <c r="N361" i="1"/>
  <c r="M361" i="1"/>
  <c r="U361" i="1" s="1"/>
  <c r="L361" i="1"/>
  <c r="F361" i="1"/>
  <c r="G361" i="1" s="1"/>
  <c r="E361" i="1"/>
  <c r="C361" i="1"/>
  <c r="B361" i="1"/>
  <c r="A361" i="1"/>
  <c r="AQ360" i="1"/>
  <c r="AR360" i="1" s="1"/>
  <c r="AP360" i="1"/>
  <c r="AO360" i="1"/>
  <c r="AM360" i="1"/>
  <c r="AN360" i="1" s="1"/>
  <c r="AL360" i="1"/>
  <c r="AK360" i="1"/>
  <c r="AE360" i="1"/>
  <c r="AC360" i="1"/>
  <c r="AB360" i="1"/>
  <c r="AA360" i="1"/>
  <c r="Y360" i="1"/>
  <c r="X360" i="1"/>
  <c r="T360" i="1"/>
  <c r="S360" i="1"/>
  <c r="R360" i="1"/>
  <c r="Q360" i="1"/>
  <c r="P360" i="1"/>
  <c r="O360" i="1"/>
  <c r="N360" i="1"/>
  <c r="M360" i="1"/>
  <c r="U360" i="1" s="1"/>
  <c r="L360" i="1"/>
  <c r="F360" i="1"/>
  <c r="G360" i="1" s="1"/>
  <c r="E360" i="1"/>
  <c r="C360" i="1"/>
  <c r="B360" i="1"/>
  <c r="A360" i="1"/>
  <c r="AQ359" i="1"/>
  <c r="AR359" i="1" s="1"/>
  <c r="AP359" i="1"/>
  <c r="AO359" i="1"/>
  <c r="AM359" i="1"/>
  <c r="AN359" i="1" s="1"/>
  <c r="AL359" i="1"/>
  <c r="AK359" i="1"/>
  <c r="AE359" i="1"/>
  <c r="AC359" i="1"/>
  <c r="AB359" i="1"/>
  <c r="AA359" i="1"/>
  <c r="Y359" i="1"/>
  <c r="X359" i="1"/>
  <c r="T359" i="1"/>
  <c r="S359" i="1"/>
  <c r="R359" i="1"/>
  <c r="Q359" i="1"/>
  <c r="P359" i="1"/>
  <c r="O359" i="1"/>
  <c r="N359" i="1"/>
  <c r="M359" i="1"/>
  <c r="U359" i="1" s="1"/>
  <c r="L359" i="1"/>
  <c r="F359" i="1"/>
  <c r="G359" i="1" s="1"/>
  <c r="E359" i="1"/>
  <c r="C359" i="1"/>
  <c r="B359" i="1"/>
  <c r="A359" i="1"/>
  <c r="AQ358" i="1"/>
  <c r="AR358" i="1" s="1"/>
  <c r="AP358" i="1"/>
  <c r="AO358" i="1"/>
  <c r="AM358" i="1"/>
  <c r="AN358" i="1" s="1"/>
  <c r="AL358" i="1"/>
  <c r="AK358" i="1"/>
  <c r="AE358" i="1"/>
  <c r="AC358" i="1"/>
  <c r="AB358" i="1"/>
  <c r="AA358" i="1"/>
  <c r="Y358" i="1"/>
  <c r="X358" i="1"/>
  <c r="T358" i="1"/>
  <c r="S358" i="1"/>
  <c r="R358" i="1"/>
  <c r="Q358" i="1"/>
  <c r="P358" i="1"/>
  <c r="O358" i="1"/>
  <c r="N358" i="1"/>
  <c r="M358" i="1"/>
  <c r="U358" i="1" s="1"/>
  <c r="L358" i="1"/>
  <c r="F358" i="1"/>
  <c r="E358" i="1"/>
  <c r="C358" i="1"/>
  <c r="B358" i="1"/>
  <c r="AP357" i="1"/>
  <c r="AO357" i="1"/>
  <c r="AR357" i="1" s="1"/>
  <c r="AL357" i="1"/>
  <c r="AK357" i="1"/>
  <c r="AN357" i="1" s="1"/>
  <c r="AE357" i="1"/>
  <c r="AC357" i="1"/>
  <c r="AB357" i="1"/>
  <c r="AA357" i="1"/>
  <c r="Y357" i="1"/>
  <c r="X357" i="1"/>
  <c r="T357" i="1"/>
  <c r="S357" i="1"/>
  <c r="R357" i="1"/>
  <c r="Q357" i="1"/>
  <c r="P357" i="1"/>
  <c r="O357" i="1"/>
  <c r="N357" i="1"/>
  <c r="M357" i="1"/>
  <c r="U357" i="1" s="1"/>
  <c r="L357" i="1"/>
  <c r="F357" i="1"/>
  <c r="E357" i="1"/>
  <c r="C357" i="1"/>
  <c r="B357" i="1"/>
  <c r="AQ356" i="1"/>
  <c r="AR356" i="1" s="1"/>
  <c r="AP356" i="1"/>
  <c r="AO356" i="1"/>
  <c r="AM356" i="1"/>
  <c r="AN356" i="1" s="1"/>
  <c r="AL356" i="1"/>
  <c r="AK356" i="1"/>
  <c r="AE356" i="1"/>
  <c r="AC356" i="1"/>
  <c r="AB356" i="1"/>
  <c r="AA356" i="1"/>
  <c r="Y356" i="1"/>
  <c r="X356" i="1"/>
  <c r="T356" i="1"/>
  <c r="S356" i="1"/>
  <c r="R356" i="1"/>
  <c r="Q356" i="1"/>
  <c r="P356" i="1"/>
  <c r="O356" i="1"/>
  <c r="N356" i="1"/>
  <c r="M356" i="1"/>
  <c r="U356" i="1" s="1"/>
  <c r="L356" i="1"/>
  <c r="F356" i="1"/>
  <c r="E356" i="1"/>
  <c r="C356" i="1"/>
  <c r="B356" i="1"/>
  <c r="AP355" i="1"/>
  <c r="AO355" i="1"/>
  <c r="AR355" i="1" s="1"/>
  <c r="AL355" i="1"/>
  <c r="AK355" i="1"/>
  <c r="AN355" i="1" s="1"/>
  <c r="AE355" i="1"/>
  <c r="AC355" i="1"/>
  <c r="AB355" i="1"/>
  <c r="AA355" i="1"/>
  <c r="Y355" i="1"/>
  <c r="X355" i="1"/>
  <c r="T355" i="1"/>
  <c r="S355" i="1"/>
  <c r="R355" i="1"/>
  <c r="Q355" i="1"/>
  <c r="P355" i="1"/>
  <c r="O355" i="1"/>
  <c r="N355" i="1"/>
  <c r="M355" i="1"/>
  <c r="U355" i="1" s="1"/>
  <c r="L355" i="1"/>
  <c r="F355" i="1"/>
  <c r="E355" i="1"/>
  <c r="C355" i="1"/>
  <c r="B355" i="1"/>
  <c r="AP354" i="1"/>
  <c r="AO354" i="1"/>
  <c r="AL354" i="1"/>
  <c r="AK354" i="1"/>
  <c r="AE354" i="1"/>
  <c r="AC354" i="1"/>
  <c r="AB354" i="1"/>
  <c r="AA354" i="1"/>
  <c r="Y354" i="1"/>
  <c r="X354" i="1"/>
  <c r="T354" i="1"/>
  <c r="S354" i="1"/>
  <c r="R354" i="1"/>
  <c r="Q354" i="1"/>
  <c r="P354" i="1"/>
  <c r="O354" i="1"/>
  <c r="N354" i="1"/>
  <c r="M354" i="1"/>
  <c r="U354" i="1" s="1"/>
  <c r="K354" i="1"/>
  <c r="L354" i="1" s="1"/>
  <c r="F354" i="1"/>
  <c r="E354" i="1"/>
  <c r="C354" i="1"/>
  <c r="B354" i="1"/>
  <c r="AQ353" i="1"/>
  <c r="AR353" i="1" s="1"/>
  <c r="AP353" i="1"/>
  <c r="AO353" i="1"/>
  <c r="AM353" i="1"/>
  <c r="AN353" i="1" s="1"/>
  <c r="AL353" i="1"/>
  <c r="AK353" i="1"/>
  <c r="AE353" i="1"/>
  <c r="AC353" i="1"/>
  <c r="AB353" i="1"/>
  <c r="AA353" i="1"/>
  <c r="Y353" i="1"/>
  <c r="X353" i="1"/>
  <c r="T353" i="1"/>
  <c r="S353" i="1"/>
  <c r="R353" i="1"/>
  <c r="Q353" i="1"/>
  <c r="P353" i="1"/>
  <c r="O353" i="1"/>
  <c r="N353" i="1"/>
  <c r="M353" i="1"/>
  <c r="U353" i="1" s="1"/>
  <c r="L353" i="1"/>
  <c r="F353" i="1"/>
  <c r="E353" i="1"/>
  <c r="C353" i="1"/>
  <c r="B353" i="1"/>
  <c r="AP352" i="1"/>
  <c r="AO352" i="1"/>
  <c r="AL352" i="1"/>
  <c r="AK352" i="1"/>
  <c r="AE352" i="1"/>
  <c r="AC352" i="1"/>
  <c r="AB352" i="1"/>
  <c r="AA352" i="1"/>
  <c r="Y352" i="1"/>
  <c r="X352" i="1"/>
  <c r="T352" i="1"/>
  <c r="S352" i="1"/>
  <c r="R352" i="1"/>
  <c r="Q352" i="1"/>
  <c r="P352" i="1"/>
  <c r="O352" i="1"/>
  <c r="N352" i="1"/>
  <c r="M352" i="1"/>
  <c r="U352" i="1" s="1"/>
  <c r="K352" i="1"/>
  <c r="L352" i="1" s="1"/>
  <c r="F352" i="1"/>
  <c r="E352" i="1"/>
  <c r="C352" i="1"/>
  <c r="B352" i="1"/>
  <c r="AP351" i="1"/>
  <c r="AO351" i="1"/>
  <c r="AR351" i="1" s="1"/>
  <c r="AL351" i="1"/>
  <c r="AK351" i="1"/>
  <c r="AN351" i="1" s="1"/>
  <c r="AE351" i="1"/>
  <c r="AC351" i="1"/>
  <c r="AB351" i="1"/>
  <c r="AA351" i="1"/>
  <c r="Y351" i="1"/>
  <c r="X351" i="1"/>
  <c r="T351" i="1"/>
  <c r="S351" i="1"/>
  <c r="R351" i="1"/>
  <c r="Q351" i="1"/>
  <c r="P351" i="1"/>
  <c r="O351" i="1"/>
  <c r="N351" i="1"/>
  <c r="M351" i="1"/>
  <c r="U351" i="1" s="1"/>
  <c r="L351" i="1"/>
  <c r="F351" i="1"/>
  <c r="E351" i="1"/>
  <c r="C351" i="1"/>
  <c r="B351" i="1"/>
  <c r="AP350" i="1"/>
  <c r="AO350" i="1"/>
  <c r="AR350" i="1" s="1"/>
  <c r="AL350" i="1"/>
  <c r="AK350" i="1"/>
  <c r="AN350" i="1" s="1"/>
  <c r="AE350" i="1"/>
  <c r="AC350" i="1"/>
  <c r="AB350" i="1"/>
  <c r="AA350" i="1"/>
  <c r="Y350" i="1"/>
  <c r="X350" i="1"/>
  <c r="T350" i="1"/>
  <c r="S350" i="1"/>
  <c r="R350" i="1"/>
  <c r="Q350" i="1"/>
  <c r="P350" i="1"/>
  <c r="O350" i="1"/>
  <c r="N350" i="1"/>
  <c r="M350" i="1"/>
  <c r="U350" i="1" s="1"/>
  <c r="L350" i="1"/>
  <c r="F350" i="1"/>
  <c r="E350" i="1"/>
  <c r="C350" i="1"/>
  <c r="B350" i="1"/>
  <c r="AP349" i="1"/>
  <c r="AO349" i="1"/>
  <c r="AR349" i="1" s="1"/>
  <c r="AL349" i="1"/>
  <c r="AK349" i="1"/>
  <c r="AN349" i="1" s="1"/>
  <c r="AE349" i="1"/>
  <c r="AC349" i="1"/>
  <c r="AB349" i="1"/>
  <c r="AA349" i="1"/>
  <c r="Y349" i="1"/>
  <c r="X349" i="1"/>
  <c r="T349" i="1"/>
  <c r="S349" i="1"/>
  <c r="R349" i="1"/>
  <c r="Q349" i="1"/>
  <c r="P349" i="1"/>
  <c r="O349" i="1"/>
  <c r="N349" i="1"/>
  <c r="M349" i="1"/>
  <c r="U349" i="1" s="1"/>
  <c r="L349" i="1"/>
  <c r="F349" i="1"/>
  <c r="E349" i="1"/>
  <c r="C349" i="1"/>
  <c r="B349" i="1"/>
  <c r="AP348" i="1"/>
  <c r="AO348" i="1"/>
  <c r="AR348" i="1" s="1"/>
  <c r="AL348" i="1"/>
  <c r="AK348" i="1"/>
  <c r="AN348" i="1" s="1"/>
  <c r="AE348" i="1"/>
  <c r="AC348" i="1"/>
  <c r="AB348" i="1"/>
  <c r="AA348" i="1"/>
  <c r="Y348" i="1"/>
  <c r="X348" i="1"/>
  <c r="T348" i="1"/>
  <c r="S348" i="1"/>
  <c r="R348" i="1"/>
  <c r="Q348" i="1"/>
  <c r="P348" i="1"/>
  <c r="O348" i="1"/>
  <c r="N348" i="1"/>
  <c r="M348" i="1"/>
  <c r="U348" i="1" s="1"/>
  <c r="L348" i="1"/>
  <c r="F348" i="1"/>
  <c r="E348" i="1"/>
  <c r="C348" i="1"/>
  <c r="B348" i="1"/>
  <c r="AP347" i="1"/>
  <c r="AO347" i="1"/>
  <c r="AL347" i="1"/>
  <c r="AK347" i="1"/>
  <c r="AE347" i="1"/>
  <c r="AC347" i="1"/>
  <c r="AB347" i="1"/>
  <c r="AA347" i="1"/>
  <c r="Y347" i="1"/>
  <c r="X347" i="1"/>
  <c r="T347" i="1"/>
  <c r="S347" i="1"/>
  <c r="R347" i="1"/>
  <c r="Q347" i="1"/>
  <c r="P347" i="1"/>
  <c r="O347" i="1"/>
  <c r="N347" i="1"/>
  <c r="M347" i="1"/>
  <c r="U347" i="1" s="1"/>
  <c r="K347" i="1"/>
  <c r="L347" i="1" s="1"/>
  <c r="F347" i="1"/>
  <c r="E347" i="1"/>
  <c r="C347" i="1"/>
  <c r="B347" i="1"/>
  <c r="AP346" i="1"/>
  <c r="AO346" i="1"/>
  <c r="AR346" i="1" s="1"/>
  <c r="AL346" i="1"/>
  <c r="AK346" i="1"/>
  <c r="AN346" i="1" s="1"/>
  <c r="AE346" i="1"/>
  <c r="AC346" i="1"/>
  <c r="AB346" i="1"/>
  <c r="AA346" i="1"/>
  <c r="Y346" i="1"/>
  <c r="X346" i="1"/>
  <c r="T346" i="1"/>
  <c r="S346" i="1"/>
  <c r="R346" i="1"/>
  <c r="Q346" i="1"/>
  <c r="P346" i="1"/>
  <c r="O346" i="1"/>
  <c r="N346" i="1"/>
  <c r="M346" i="1"/>
  <c r="U346" i="1" s="1"/>
  <c r="L346" i="1"/>
  <c r="F346" i="1"/>
  <c r="E346" i="1"/>
  <c r="C346" i="1"/>
  <c r="B346" i="1"/>
  <c r="AP345" i="1"/>
  <c r="AO345" i="1"/>
  <c r="AR345" i="1" s="1"/>
  <c r="AL345" i="1"/>
  <c r="AK345" i="1"/>
  <c r="AN345" i="1" s="1"/>
  <c r="AE345" i="1"/>
  <c r="AC345" i="1"/>
  <c r="AB345" i="1"/>
  <c r="AA345" i="1"/>
  <c r="Y345" i="1"/>
  <c r="X345" i="1"/>
  <c r="T345" i="1"/>
  <c r="S345" i="1"/>
  <c r="R345" i="1"/>
  <c r="Q345" i="1"/>
  <c r="P345" i="1"/>
  <c r="O345" i="1"/>
  <c r="N345" i="1"/>
  <c r="M345" i="1"/>
  <c r="U345" i="1" s="1"/>
  <c r="L345" i="1"/>
  <c r="F345" i="1"/>
  <c r="G345" i="1" s="1"/>
  <c r="E345" i="1"/>
  <c r="C345" i="1"/>
  <c r="B345" i="1"/>
  <c r="A345" i="1"/>
  <c r="AQ344" i="1"/>
  <c r="AR344" i="1" s="1"/>
  <c r="AP344" i="1"/>
  <c r="AO344" i="1"/>
  <c r="AM344" i="1"/>
  <c r="AN344" i="1" s="1"/>
  <c r="AL344" i="1"/>
  <c r="AK344" i="1"/>
  <c r="AE344" i="1"/>
  <c r="AC344" i="1"/>
  <c r="AB344" i="1"/>
  <c r="AA344" i="1"/>
  <c r="Y344" i="1"/>
  <c r="X344" i="1"/>
  <c r="T344" i="1"/>
  <c r="S344" i="1"/>
  <c r="R344" i="1"/>
  <c r="Q344" i="1"/>
  <c r="P344" i="1"/>
  <c r="O344" i="1"/>
  <c r="N344" i="1"/>
  <c r="M344" i="1"/>
  <c r="U344" i="1" s="1"/>
  <c r="L344" i="1"/>
  <c r="F344" i="1"/>
  <c r="G344" i="1" s="1"/>
  <c r="E344" i="1"/>
  <c r="C344" i="1"/>
  <c r="B344" i="1"/>
  <c r="A344" i="1"/>
  <c r="AP343" i="1"/>
  <c r="AO343" i="1"/>
  <c r="AR343" i="1" s="1"/>
  <c r="AL343" i="1"/>
  <c r="AK343" i="1"/>
  <c r="AN343" i="1" s="1"/>
  <c r="AE343" i="1"/>
  <c r="AC343" i="1"/>
  <c r="AB343" i="1"/>
  <c r="AA343" i="1"/>
  <c r="Y343" i="1"/>
  <c r="X343" i="1"/>
  <c r="T343" i="1"/>
  <c r="S343" i="1"/>
  <c r="R343" i="1"/>
  <c r="Q343" i="1"/>
  <c r="P343" i="1"/>
  <c r="O343" i="1"/>
  <c r="N343" i="1"/>
  <c r="M343" i="1"/>
  <c r="U343" i="1" s="1"/>
  <c r="L343" i="1"/>
  <c r="F343" i="1"/>
  <c r="G343" i="1" s="1"/>
  <c r="E343" i="1"/>
  <c r="C343" i="1"/>
  <c r="B343" i="1"/>
  <c r="A343" i="1"/>
  <c r="AP342" i="1"/>
  <c r="AO342" i="1"/>
  <c r="AR342" i="1" s="1"/>
  <c r="AL342" i="1"/>
  <c r="AK342" i="1"/>
  <c r="AN342" i="1" s="1"/>
  <c r="AE342" i="1"/>
  <c r="AC342" i="1"/>
  <c r="AB342" i="1"/>
  <c r="AA342" i="1"/>
  <c r="Y342" i="1"/>
  <c r="X342" i="1"/>
  <c r="T342" i="1"/>
  <c r="S342" i="1"/>
  <c r="R342" i="1"/>
  <c r="Q342" i="1"/>
  <c r="P342" i="1"/>
  <c r="O342" i="1"/>
  <c r="N342" i="1"/>
  <c r="M342" i="1"/>
  <c r="U342" i="1" s="1"/>
  <c r="L342" i="1"/>
  <c r="F342" i="1"/>
  <c r="G342" i="1" s="1"/>
  <c r="E342" i="1"/>
  <c r="C342" i="1"/>
  <c r="B342" i="1"/>
  <c r="A342" i="1"/>
  <c r="AQ341" i="1"/>
  <c r="AR341" i="1" s="1"/>
  <c r="AP341" i="1"/>
  <c r="AO341" i="1"/>
  <c r="AM341" i="1"/>
  <c r="AN341" i="1" s="1"/>
  <c r="AL341" i="1"/>
  <c r="AK341" i="1"/>
  <c r="AE341" i="1"/>
  <c r="AC341" i="1"/>
  <c r="AB341" i="1"/>
  <c r="AA341" i="1"/>
  <c r="Y341" i="1"/>
  <c r="X341" i="1"/>
  <c r="T341" i="1"/>
  <c r="S341" i="1"/>
  <c r="R341" i="1"/>
  <c r="Q341" i="1"/>
  <c r="P341" i="1"/>
  <c r="O341" i="1"/>
  <c r="N341" i="1"/>
  <c r="M341" i="1"/>
  <c r="U341" i="1" s="1"/>
  <c r="L341" i="1"/>
  <c r="F341" i="1"/>
  <c r="G341" i="1" s="1"/>
  <c r="E341" i="1"/>
  <c r="C341" i="1"/>
  <c r="B341" i="1"/>
  <c r="A341" i="1"/>
  <c r="AP340" i="1"/>
  <c r="AO340" i="1"/>
  <c r="AL340" i="1"/>
  <c r="AK340" i="1"/>
  <c r="AE340" i="1"/>
  <c r="AC340" i="1"/>
  <c r="AB340" i="1"/>
  <c r="AA340" i="1"/>
  <c r="Y340" i="1"/>
  <c r="X340" i="1"/>
  <c r="T340" i="1"/>
  <c r="S340" i="1"/>
  <c r="R340" i="1"/>
  <c r="Q340" i="1"/>
  <c r="P340" i="1"/>
  <c r="O340" i="1"/>
  <c r="N340" i="1"/>
  <c r="M340" i="1"/>
  <c r="U340" i="1" s="1"/>
  <c r="K340" i="1"/>
  <c r="L340" i="1" s="1"/>
  <c r="F340" i="1"/>
  <c r="G340" i="1" s="1"/>
  <c r="E340" i="1"/>
  <c r="C340" i="1"/>
  <c r="B340" i="1"/>
  <c r="A340" i="1"/>
  <c r="AP339" i="1"/>
  <c r="AO339" i="1"/>
  <c r="AR339" i="1" s="1"/>
  <c r="AL339" i="1"/>
  <c r="AK339" i="1"/>
  <c r="AN339" i="1" s="1"/>
  <c r="AE339" i="1"/>
  <c r="AC339" i="1"/>
  <c r="AB339" i="1"/>
  <c r="AA339" i="1"/>
  <c r="Y339" i="1"/>
  <c r="X339" i="1"/>
  <c r="T339" i="1"/>
  <c r="S339" i="1"/>
  <c r="R339" i="1"/>
  <c r="Q339" i="1"/>
  <c r="P339" i="1"/>
  <c r="O339" i="1"/>
  <c r="N339" i="1"/>
  <c r="M339" i="1"/>
  <c r="U339" i="1" s="1"/>
  <c r="L339" i="1"/>
  <c r="F339" i="1"/>
  <c r="G339" i="1" s="1"/>
  <c r="E339" i="1"/>
  <c r="C339" i="1"/>
  <c r="B339" i="1"/>
  <c r="A339" i="1"/>
  <c r="AP338" i="1"/>
  <c r="AO338" i="1"/>
  <c r="AR338" i="1" s="1"/>
  <c r="AL338" i="1"/>
  <c r="AK338" i="1"/>
  <c r="AN338" i="1" s="1"/>
  <c r="AE338" i="1"/>
  <c r="AC338" i="1"/>
  <c r="AB338" i="1"/>
  <c r="AA338" i="1"/>
  <c r="Y338" i="1"/>
  <c r="X338" i="1"/>
  <c r="T338" i="1"/>
  <c r="S338" i="1"/>
  <c r="R338" i="1"/>
  <c r="Q338" i="1"/>
  <c r="P338" i="1"/>
  <c r="O338" i="1"/>
  <c r="N338" i="1"/>
  <c r="M338" i="1"/>
  <c r="U338" i="1" s="1"/>
  <c r="L338" i="1"/>
  <c r="F338" i="1"/>
  <c r="G338" i="1" s="1"/>
  <c r="E338" i="1"/>
  <c r="C338" i="1"/>
  <c r="B338" i="1"/>
  <c r="A338" i="1"/>
  <c r="AP337" i="1"/>
  <c r="AO337" i="1"/>
  <c r="AR337" i="1" s="1"/>
  <c r="AL337" i="1"/>
  <c r="AK337" i="1"/>
  <c r="AN337" i="1" s="1"/>
  <c r="AE337" i="1"/>
  <c r="AC337" i="1"/>
  <c r="AB337" i="1"/>
  <c r="AA337" i="1"/>
  <c r="Y337" i="1"/>
  <c r="X337" i="1"/>
  <c r="T337" i="1"/>
  <c r="S337" i="1"/>
  <c r="R337" i="1"/>
  <c r="Q337" i="1"/>
  <c r="P337" i="1"/>
  <c r="O337" i="1"/>
  <c r="N337" i="1"/>
  <c r="M337" i="1"/>
  <c r="U337" i="1" s="1"/>
  <c r="L337" i="1"/>
  <c r="F337" i="1"/>
  <c r="G337" i="1" s="1"/>
  <c r="E337" i="1"/>
  <c r="C337" i="1"/>
  <c r="B337" i="1"/>
  <c r="A337" i="1"/>
  <c r="AQ336" i="1"/>
  <c r="AR336" i="1" s="1"/>
  <c r="AP336" i="1"/>
  <c r="AO336" i="1"/>
  <c r="AM336" i="1"/>
  <c r="AN336" i="1" s="1"/>
  <c r="AL336" i="1"/>
  <c r="AK336" i="1"/>
  <c r="AE336" i="1"/>
  <c r="AC336" i="1"/>
  <c r="AB336" i="1"/>
  <c r="AA336" i="1"/>
  <c r="Y336" i="1"/>
  <c r="X336" i="1"/>
  <c r="T336" i="1"/>
  <c r="S336" i="1"/>
  <c r="R336" i="1"/>
  <c r="Q336" i="1"/>
  <c r="P336" i="1"/>
  <c r="O336" i="1"/>
  <c r="N336" i="1"/>
  <c r="M336" i="1"/>
  <c r="U336" i="1" s="1"/>
  <c r="L336" i="1"/>
  <c r="F336" i="1"/>
  <c r="G336" i="1" s="1"/>
  <c r="E336" i="1"/>
  <c r="C336" i="1"/>
  <c r="B336" i="1"/>
  <c r="A336" i="1"/>
  <c r="AP335" i="1"/>
  <c r="AO335" i="1"/>
  <c r="AL335" i="1"/>
  <c r="AK335" i="1"/>
  <c r="AE335" i="1"/>
  <c r="AC335" i="1"/>
  <c r="AB335" i="1"/>
  <c r="AA335" i="1"/>
  <c r="Y335" i="1"/>
  <c r="X335" i="1"/>
  <c r="T335" i="1"/>
  <c r="S335" i="1"/>
  <c r="R335" i="1"/>
  <c r="Q335" i="1"/>
  <c r="P335" i="1"/>
  <c r="O335" i="1"/>
  <c r="N335" i="1"/>
  <c r="M335" i="1"/>
  <c r="U335" i="1" s="1"/>
  <c r="K335" i="1"/>
  <c r="L335" i="1" s="1"/>
  <c r="F335" i="1"/>
  <c r="E335" i="1"/>
  <c r="C335" i="1"/>
  <c r="B335" i="1"/>
  <c r="AP334" i="1"/>
  <c r="AO334" i="1"/>
  <c r="AR334" i="1" s="1"/>
  <c r="AL334" i="1"/>
  <c r="AK334" i="1"/>
  <c r="AN334" i="1" s="1"/>
  <c r="AE334" i="1"/>
  <c r="AC334" i="1"/>
  <c r="AB334" i="1"/>
  <c r="AA334" i="1"/>
  <c r="Y334" i="1"/>
  <c r="X334" i="1"/>
  <c r="T334" i="1"/>
  <c r="S334" i="1"/>
  <c r="R334" i="1"/>
  <c r="Q334" i="1"/>
  <c r="P334" i="1"/>
  <c r="O334" i="1"/>
  <c r="N334" i="1"/>
  <c r="M334" i="1"/>
  <c r="U334" i="1" s="1"/>
  <c r="L334" i="1"/>
  <c r="F334" i="1"/>
  <c r="G334" i="1" s="1"/>
  <c r="E334" i="1"/>
  <c r="C334" i="1"/>
  <c r="B334" i="1"/>
  <c r="A334" i="1"/>
  <c r="AP333" i="1"/>
  <c r="AO333" i="1"/>
  <c r="AR333" i="1" s="1"/>
  <c r="AL333" i="1"/>
  <c r="AK333" i="1"/>
  <c r="AN333" i="1" s="1"/>
  <c r="AE333" i="1"/>
  <c r="AC333" i="1"/>
  <c r="AB333" i="1"/>
  <c r="AA333" i="1"/>
  <c r="Y333" i="1"/>
  <c r="X333" i="1"/>
  <c r="T333" i="1"/>
  <c r="S333" i="1"/>
  <c r="R333" i="1"/>
  <c r="Q333" i="1"/>
  <c r="P333" i="1"/>
  <c r="O333" i="1"/>
  <c r="N333" i="1"/>
  <c r="M333" i="1"/>
  <c r="U333" i="1" s="1"/>
  <c r="L333" i="1"/>
  <c r="F333" i="1"/>
  <c r="G333" i="1" s="1"/>
  <c r="E333" i="1"/>
  <c r="C333" i="1"/>
  <c r="B333" i="1"/>
  <c r="A333" i="1"/>
  <c r="AP332" i="1"/>
  <c r="AO332" i="1"/>
  <c r="AR332" i="1" s="1"/>
  <c r="AL332" i="1"/>
  <c r="AK332" i="1"/>
  <c r="AN332" i="1" s="1"/>
  <c r="AE332" i="1"/>
  <c r="AC332" i="1"/>
  <c r="AB332" i="1"/>
  <c r="AA332" i="1"/>
  <c r="Y332" i="1"/>
  <c r="X332" i="1"/>
  <c r="T332" i="1"/>
  <c r="S332" i="1"/>
  <c r="R332" i="1"/>
  <c r="Q332" i="1"/>
  <c r="P332" i="1"/>
  <c r="O332" i="1"/>
  <c r="N332" i="1"/>
  <c r="M332" i="1"/>
  <c r="U332" i="1" s="1"/>
  <c r="L332" i="1"/>
  <c r="F332" i="1"/>
  <c r="G332" i="1" s="1"/>
  <c r="E332" i="1"/>
  <c r="C332" i="1"/>
  <c r="B332" i="1"/>
  <c r="A332" i="1"/>
  <c r="AQ331" i="1"/>
  <c r="AR331" i="1" s="1"/>
  <c r="AP331" i="1"/>
  <c r="AO331" i="1"/>
  <c r="AM331" i="1"/>
  <c r="AN331" i="1" s="1"/>
  <c r="AL331" i="1"/>
  <c r="AK331" i="1"/>
  <c r="AE331" i="1"/>
  <c r="AC331" i="1"/>
  <c r="AB331" i="1"/>
  <c r="AA331" i="1"/>
  <c r="Y331" i="1"/>
  <c r="X331" i="1"/>
  <c r="T331" i="1"/>
  <c r="S331" i="1"/>
  <c r="R331" i="1"/>
  <c r="Q331" i="1"/>
  <c r="P331" i="1"/>
  <c r="O331" i="1"/>
  <c r="N331" i="1"/>
  <c r="M331" i="1"/>
  <c r="U331" i="1" s="1"/>
  <c r="L331" i="1"/>
  <c r="F331" i="1"/>
  <c r="G331" i="1" s="1"/>
  <c r="E331" i="1"/>
  <c r="C331" i="1"/>
  <c r="B331" i="1"/>
  <c r="A331" i="1"/>
  <c r="AQ330" i="1"/>
  <c r="AR330" i="1" s="1"/>
  <c r="AP330" i="1"/>
  <c r="AO330" i="1"/>
  <c r="AM330" i="1"/>
  <c r="AN330" i="1" s="1"/>
  <c r="AL330" i="1"/>
  <c r="AK330" i="1"/>
  <c r="AE330" i="1"/>
  <c r="AC330" i="1"/>
  <c r="AB330" i="1"/>
  <c r="AA330" i="1"/>
  <c r="Y330" i="1"/>
  <c r="X330" i="1"/>
  <c r="T330" i="1"/>
  <c r="S330" i="1"/>
  <c r="R330" i="1"/>
  <c r="Q330" i="1"/>
  <c r="P330" i="1"/>
  <c r="O330" i="1"/>
  <c r="N330" i="1"/>
  <c r="M330" i="1"/>
  <c r="U330" i="1" s="1"/>
  <c r="L330" i="1"/>
  <c r="F330" i="1"/>
  <c r="G330" i="1" s="1"/>
  <c r="E330" i="1"/>
  <c r="C330" i="1"/>
  <c r="B330" i="1"/>
  <c r="A330" i="1"/>
  <c r="AP329" i="1"/>
  <c r="AO329" i="1"/>
  <c r="AR329" i="1" s="1"/>
  <c r="AL329" i="1"/>
  <c r="AK329" i="1"/>
  <c r="AN329" i="1" s="1"/>
  <c r="AE329" i="1"/>
  <c r="AC329" i="1"/>
  <c r="AB329" i="1"/>
  <c r="AA329" i="1"/>
  <c r="Y329" i="1"/>
  <c r="X329" i="1"/>
  <c r="T329" i="1"/>
  <c r="S329" i="1"/>
  <c r="R329" i="1"/>
  <c r="Q329" i="1"/>
  <c r="P329" i="1"/>
  <c r="O329" i="1"/>
  <c r="N329" i="1"/>
  <c r="M329" i="1"/>
  <c r="U329" i="1" s="1"/>
  <c r="L329" i="1"/>
  <c r="F329" i="1"/>
  <c r="G329" i="1" s="1"/>
  <c r="E329" i="1"/>
  <c r="C329" i="1"/>
  <c r="B329" i="1"/>
  <c r="A329" i="1"/>
  <c r="AQ328" i="1"/>
  <c r="AR328" i="1" s="1"/>
  <c r="AP328" i="1"/>
  <c r="AO328" i="1"/>
  <c r="AM328" i="1"/>
  <c r="AN328" i="1" s="1"/>
  <c r="AL328" i="1"/>
  <c r="AK328" i="1"/>
  <c r="AE328" i="1"/>
  <c r="AC328" i="1"/>
  <c r="AB328" i="1"/>
  <c r="AA328" i="1"/>
  <c r="Y328" i="1"/>
  <c r="X328" i="1"/>
  <c r="T328" i="1"/>
  <c r="S328" i="1"/>
  <c r="R328" i="1"/>
  <c r="Q328" i="1"/>
  <c r="P328" i="1"/>
  <c r="O328" i="1"/>
  <c r="N328" i="1"/>
  <c r="M328" i="1"/>
  <c r="U328" i="1" s="1"/>
  <c r="L328" i="1"/>
  <c r="F328" i="1"/>
  <c r="G328" i="1" s="1"/>
  <c r="E328" i="1"/>
  <c r="C328" i="1"/>
  <c r="B328" i="1"/>
  <c r="A328" i="1"/>
  <c r="AQ327" i="1"/>
  <c r="AR327" i="1" s="1"/>
  <c r="AP327" i="1"/>
  <c r="AO327" i="1"/>
  <c r="AM327" i="1"/>
  <c r="AN327" i="1" s="1"/>
  <c r="AL327" i="1"/>
  <c r="AK327" i="1"/>
  <c r="AE327" i="1"/>
  <c r="AC327" i="1"/>
  <c r="AB327" i="1"/>
  <c r="AA327" i="1"/>
  <c r="Y327" i="1"/>
  <c r="X327" i="1"/>
  <c r="T327" i="1"/>
  <c r="S327" i="1"/>
  <c r="R327" i="1"/>
  <c r="Q327" i="1"/>
  <c r="P327" i="1"/>
  <c r="O327" i="1"/>
  <c r="N327" i="1"/>
  <c r="M327" i="1"/>
  <c r="U327" i="1" s="1"/>
  <c r="L327" i="1"/>
  <c r="F327" i="1"/>
  <c r="G327" i="1" s="1"/>
  <c r="E327" i="1"/>
  <c r="C327" i="1"/>
  <c r="B327" i="1"/>
  <c r="A327" i="1"/>
  <c r="AQ326" i="1"/>
  <c r="AR326" i="1" s="1"/>
  <c r="AP326" i="1"/>
  <c r="AO326" i="1"/>
  <c r="AM326" i="1"/>
  <c r="AN326" i="1" s="1"/>
  <c r="AL326" i="1"/>
  <c r="AK326" i="1"/>
  <c r="AE326" i="1"/>
  <c r="AC326" i="1"/>
  <c r="AB326" i="1"/>
  <c r="AA326" i="1"/>
  <c r="Y326" i="1"/>
  <c r="X326" i="1"/>
  <c r="T326" i="1"/>
  <c r="S326" i="1"/>
  <c r="R326" i="1"/>
  <c r="Q326" i="1"/>
  <c r="P326" i="1"/>
  <c r="O326" i="1"/>
  <c r="N326" i="1"/>
  <c r="M326" i="1"/>
  <c r="U326" i="1" s="1"/>
  <c r="L326" i="1"/>
  <c r="F326" i="1"/>
  <c r="G326" i="1" s="1"/>
  <c r="E326" i="1"/>
  <c r="C326" i="1"/>
  <c r="B326" i="1"/>
  <c r="A326" i="1"/>
  <c r="AQ325" i="1"/>
  <c r="AR325" i="1" s="1"/>
  <c r="AP325" i="1"/>
  <c r="AO325" i="1"/>
  <c r="AM325" i="1"/>
  <c r="AN325" i="1" s="1"/>
  <c r="AL325" i="1"/>
  <c r="AK325" i="1"/>
  <c r="AE325" i="1"/>
  <c r="AC325" i="1"/>
  <c r="AB325" i="1"/>
  <c r="AA325" i="1"/>
  <c r="Y325" i="1"/>
  <c r="X325" i="1"/>
  <c r="T325" i="1"/>
  <c r="S325" i="1"/>
  <c r="R325" i="1"/>
  <c r="Q325" i="1"/>
  <c r="P325" i="1"/>
  <c r="O325" i="1"/>
  <c r="N325" i="1"/>
  <c r="M325" i="1"/>
  <c r="U325" i="1" s="1"/>
  <c r="L325" i="1"/>
  <c r="F325" i="1"/>
  <c r="G325" i="1" s="1"/>
  <c r="E325" i="1"/>
  <c r="C325" i="1"/>
  <c r="B325" i="1"/>
  <c r="A325" i="1"/>
  <c r="AP324" i="1"/>
  <c r="AO324" i="1"/>
  <c r="AL324" i="1"/>
  <c r="AK324" i="1"/>
  <c r="AE324" i="1"/>
  <c r="AC324" i="1"/>
  <c r="AB324" i="1"/>
  <c r="AA324" i="1"/>
  <c r="Y324" i="1"/>
  <c r="X324" i="1"/>
  <c r="T324" i="1"/>
  <c r="S324" i="1"/>
  <c r="R324" i="1"/>
  <c r="Q324" i="1"/>
  <c r="P324" i="1"/>
  <c r="O324" i="1"/>
  <c r="N324" i="1"/>
  <c r="M324" i="1"/>
  <c r="U324" i="1" s="1"/>
  <c r="K324" i="1"/>
  <c r="L324" i="1" s="1"/>
  <c r="F324" i="1"/>
  <c r="G324" i="1" s="1"/>
  <c r="E324" i="1"/>
  <c r="C324" i="1"/>
  <c r="B324" i="1"/>
  <c r="A324" i="1"/>
  <c r="AP323" i="1"/>
  <c r="AO323" i="1"/>
  <c r="AR323" i="1" s="1"/>
  <c r="AL323" i="1"/>
  <c r="AK323" i="1"/>
  <c r="AN323" i="1" s="1"/>
  <c r="AE323" i="1"/>
  <c r="AC323" i="1"/>
  <c r="AB323" i="1"/>
  <c r="AA323" i="1"/>
  <c r="Y323" i="1"/>
  <c r="X323" i="1"/>
  <c r="T323" i="1"/>
  <c r="S323" i="1"/>
  <c r="R323" i="1"/>
  <c r="Q323" i="1"/>
  <c r="P323" i="1"/>
  <c r="O323" i="1"/>
  <c r="N323" i="1"/>
  <c r="M323" i="1"/>
  <c r="U323" i="1" s="1"/>
  <c r="L323" i="1"/>
  <c r="F323" i="1"/>
  <c r="G323" i="1" s="1"/>
  <c r="E323" i="1"/>
  <c r="C323" i="1"/>
  <c r="B323" i="1"/>
  <c r="A323" i="1"/>
  <c r="AP322" i="1"/>
  <c r="AO322" i="1"/>
  <c r="AR322" i="1" s="1"/>
  <c r="AL322" i="1"/>
  <c r="AK322" i="1"/>
  <c r="AN322" i="1" s="1"/>
  <c r="AE322" i="1"/>
  <c r="AC322" i="1"/>
  <c r="AB322" i="1"/>
  <c r="AA322" i="1"/>
  <c r="Y322" i="1"/>
  <c r="X322" i="1"/>
  <c r="T322" i="1"/>
  <c r="S322" i="1"/>
  <c r="R322" i="1"/>
  <c r="Q322" i="1"/>
  <c r="P322" i="1"/>
  <c r="O322" i="1"/>
  <c r="N322" i="1"/>
  <c r="M322" i="1"/>
  <c r="U322" i="1" s="1"/>
  <c r="L322" i="1"/>
  <c r="F322" i="1"/>
  <c r="G322" i="1" s="1"/>
  <c r="E322" i="1"/>
  <c r="C322" i="1"/>
  <c r="B322" i="1"/>
  <c r="A322" i="1"/>
  <c r="AP321" i="1"/>
  <c r="AO321" i="1"/>
  <c r="AR321" i="1" s="1"/>
  <c r="AL321" i="1"/>
  <c r="AK321" i="1"/>
  <c r="AN321" i="1" s="1"/>
  <c r="AE321" i="1"/>
  <c r="AC321" i="1"/>
  <c r="AB321" i="1"/>
  <c r="AA321" i="1"/>
  <c r="Y321" i="1"/>
  <c r="X321" i="1"/>
  <c r="T321" i="1"/>
  <c r="S321" i="1"/>
  <c r="R321" i="1"/>
  <c r="Q321" i="1"/>
  <c r="P321" i="1"/>
  <c r="O321" i="1"/>
  <c r="N321" i="1"/>
  <c r="M321" i="1"/>
  <c r="U321" i="1" s="1"/>
  <c r="L321" i="1"/>
  <c r="F321" i="1"/>
  <c r="G321" i="1" s="1"/>
  <c r="E321" i="1"/>
  <c r="C321" i="1"/>
  <c r="B321" i="1"/>
  <c r="A321" i="1"/>
  <c r="AP320" i="1"/>
  <c r="AO320" i="1"/>
  <c r="AL320" i="1"/>
  <c r="AK320" i="1"/>
  <c r="AE320" i="1"/>
  <c r="AC320" i="1"/>
  <c r="AB320" i="1"/>
  <c r="AA320" i="1"/>
  <c r="Y320" i="1"/>
  <c r="X320" i="1"/>
  <c r="V320" i="1"/>
  <c r="T320" i="1"/>
  <c r="S320" i="1"/>
  <c r="R320" i="1"/>
  <c r="Q320" i="1"/>
  <c r="P320" i="1"/>
  <c r="O320" i="1"/>
  <c r="N320" i="1"/>
  <c r="M320" i="1"/>
  <c r="U320" i="1" s="1"/>
  <c r="K320" i="1"/>
  <c r="L320" i="1" s="1"/>
  <c r="F320" i="1"/>
  <c r="G320" i="1" s="1"/>
  <c r="E320" i="1"/>
  <c r="C320" i="1"/>
  <c r="B320" i="1"/>
  <c r="A320" i="1"/>
  <c r="AP319" i="1"/>
  <c r="AO319" i="1"/>
  <c r="AR319" i="1" s="1"/>
  <c r="AL319" i="1"/>
  <c r="AK319" i="1"/>
  <c r="AN319" i="1" s="1"/>
  <c r="AE319" i="1"/>
  <c r="AC319" i="1"/>
  <c r="AB319" i="1"/>
  <c r="AA319" i="1"/>
  <c r="Y319" i="1"/>
  <c r="X319" i="1"/>
  <c r="V319" i="1"/>
  <c r="T319" i="1"/>
  <c r="S319" i="1"/>
  <c r="R319" i="1"/>
  <c r="Q319" i="1"/>
  <c r="P319" i="1"/>
  <c r="O319" i="1"/>
  <c r="N319" i="1"/>
  <c r="M319" i="1"/>
  <c r="U319" i="1" s="1"/>
  <c r="L319" i="1"/>
  <c r="F319" i="1"/>
  <c r="G319" i="1" s="1"/>
  <c r="E319" i="1"/>
  <c r="C319" i="1"/>
  <c r="B319" i="1"/>
  <c r="A319" i="1"/>
  <c r="AQ318" i="1"/>
  <c r="AP318" i="1"/>
  <c r="AO318" i="1"/>
  <c r="AM318" i="1"/>
  <c r="AL318" i="1"/>
  <c r="AK318" i="1"/>
  <c r="AE318" i="1"/>
  <c r="AC318" i="1"/>
  <c r="AB318" i="1"/>
  <c r="AA318" i="1"/>
  <c r="Y318" i="1"/>
  <c r="X318" i="1"/>
  <c r="V318" i="1"/>
  <c r="T318" i="1"/>
  <c r="S318" i="1"/>
  <c r="R318" i="1"/>
  <c r="Q318" i="1"/>
  <c r="P318" i="1"/>
  <c r="O318" i="1"/>
  <c r="N318" i="1"/>
  <c r="M318" i="1"/>
  <c r="U318" i="1" s="1"/>
  <c r="K318" i="1"/>
  <c r="L318" i="1" s="1"/>
  <c r="F318" i="1"/>
  <c r="G318" i="1" s="1"/>
  <c r="E318" i="1"/>
  <c r="C318" i="1"/>
  <c r="B318" i="1"/>
  <c r="A318" i="1"/>
  <c r="AP317" i="1"/>
  <c r="AO317" i="1"/>
  <c r="AL317" i="1"/>
  <c r="AK317" i="1"/>
  <c r="AE317" i="1"/>
  <c r="AC317" i="1"/>
  <c r="AB317" i="1"/>
  <c r="AA317" i="1"/>
  <c r="Y317" i="1"/>
  <c r="X317" i="1"/>
  <c r="V317" i="1"/>
  <c r="T317" i="1"/>
  <c r="S317" i="1"/>
  <c r="R317" i="1"/>
  <c r="Q317" i="1"/>
  <c r="P317" i="1"/>
  <c r="O317" i="1"/>
  <c r="N317" i="1"/>
  <c r="M317" i="1"/>
  <c r="U317" i="1" s="1"/>
  <c r="K317" i="1"/>
  <c r="L317" i="1" s="1"/>
  <c r="F317" i="1"/>
  <c r="G317" i="1" s="1"/>
  <c r="E317" i="1"/>
  <c r="C317" i="1"/>
  <c r="B317" i="1"/>
  <c r="A317" i="1"/>
  <c r="AP316" i="1"/>
  <c r="AO316" i="1"/>
  <c r="AR316" i="1" s="1"/>
  <c r="AL316" i="1"/>
  <c r="AK316" i="1"/>
  <c r="AN316" i="1" s="1"/>
  <c r="AE316" i="1"/>
  <c r="AC316" i="1"/>
  <c r="AB316" i="1"/>
  <c r="AA316" i="1"/>
  <c r="Y316" i="1"/>
  <c r="X316" i="1"/>
  <c r="V316" i="1"/>
  <c r="T316" i="1"/>
  <c r="S316" i="1"/>
  <c r="R316" i="1"/>
  <c r="Q316" i="1"/>
  <c r="P316" i="1"/>
  <c r="O316" i="1"/>
  <c r="N316" i="1"/>
  <c r="M316" i="1"/>
  <c r="U316" i="1" s="1"/>
  <c r="L316" i="1"/>
  <c r="F316" i="1"/>
  <c r="G316" i="1" s="1"/>
  <c r="E316" i="1"/>
  <c r="C316" i="1"/>
  <c r="B316" i="1"/>
  <c r="A316" i="1"/>
  <c r="AP315" i="1"/>
  <c r="AO315" i="1"/>
  <c r="AR315" i="1" s="1"/>
  <c r="AL315" i="1"/>
  <c r="AK315" i="1"/>
  <c r="AN315" i="1" s="1"/>
  <c r="AE315" i="1"/>
  <c r="AC315" i="1"/>
  <c r="AB315" i="1"/>
  <c r="AA315" i="1"/>
  <c r="Y315" i="1"/>
  <c r="X315" i="1"/>
  <c r="V315" i="1"/>
  <c r="T315" i="1"/>
  <c r="S315" i="1"/>
  <c r="R315" i="1"/>
  <c r="Q315" i="1"/>
  <c r="P315" i="1"/>
  <c r="O315" i="1"/>
  <c r="N315" i="1"/>
  <c r="M315" i="1"/>
  <c r="U315" i="1" s="1"/>
  <c r="L315" i="1"/>
  <c r="F315" i="1"/>
  <c r="G315" i="1" s="1"/>
  <c r="E315" i="1"/>
  <c r="C315" i="1"/>
  <c r="B315" i="1"/>
  <c r="A315" i="1"/>
  <c r="AP314" i="1"/>
  <c r="AO314" i="1"/>
  <c r="AR314" i="1" s="1"/>
  <c r="AL314" i="1"/>
  <c r="AK314" i="1"/>
  <c r="AN314" i="1" s="1"/>
  <c r="AE314" i="1"/>
  <c r="AC314" i="1"/>
  <c r="AB314" i="1"/>
  <c r="AA314" i="1"/>
  <c r="Y314" i="1"/>
  <c r="X314" i="1"/>
  <c r="V314" i="1"/>
  <c r="T314" i="1"/>
  <c r="S314" i="1"/>
  <c r="R314" i="1"/>
  <c r="Q314" i="1"/>
  <c r="P314" i="1"/>
  <c r="O314" i="1"/>
  <c r="N314" i="1"/>
  <c r="M314" i="1"/>
  <c r="U314" i="1" s="1"/>
  <c r="L314" i="1"/>
  <c r="F314" i="1"/>
  <c r="G314" i="1" s="1"/>
  <c r="E314" i="1"/>
  <c r="C314" i="1"/>
  <c r="B314" i="1"/>
  <c r="A314" i="1"/>
  <c r="AP313" i="1"/>
  <c r="AO313" i="1"/>
  <c r="AR313" i="1" s="1"/>
  <c r="AL313" i="1"/>
  <c r="AK313" i="1"/>
  <c r="AN313" i="1" s="1"/>
  <c r="AE313" i="1"/>
  <c r="AC313" i="1"/>
  <c r="AB313" i="1"/>
  <c r="AA313" i="1"/>
  <c r="Y313" i="1"/>
  <c r="X313" i="1"/>
  <c r="V313" i="1"/>
  <c r="T313" i="1"/>
  <c r="S313" i="1"/>
  <c r="R313" i="1"/>
  <c r="Q313" i="1"/>
  <c r="P313" i="1"/>
  <c r="O313" i="1"/>
  <c r="N313" i="1"/>
  <c r="M313" i="1"/>
  <c r="U313" i="1" s="1"/>
  <c r="L313" i="1"/>
  <c r="F313" i="1"/>
  <c r="G313" i="1" s="1"/>
  <c r="E313" i="1"/>
  <c r="C313" i="1"/>
  <c r="B313" i="1"/>
  <c r="A313" i="1"/>
  <c r="AP312" i="1"/>
  <c r="AO312" i="1"/>
  <c r="AR312" i="1" s="1"/>
  <c r="AL312" i="1"/>
  <c r="AK312" i="1"/>
  <c r="AN312" i="1" s="1"/>
  <c r="AE312" i="1"/>
  <c r="AC312" i="1"/>
  <c r="AB312" i="1"/>
  <c r="AA312" i="1"/>
  <c r="Y312" i="1"/>
  <c r="X312" i="1"/>
  <c r="V312" i="1"/>
  <c r="T312" i="1"/>
  <c r="S312" i="1"/>
  <c r="R312" i="1"/>
  <c r="Q312" i="1"/>
  <c r="P312" i="1"/>
  <c r="O312" i="1"/>
  <c r="N312" i="1"/>
  <c r="M312" i="1"/>
  <c r="U312" i="1" s="1"/>
  <c r="L312" i="1"/>
  <c r="F312" i="1"/>
  <c r="G312" i="1" s="1"/>
  <c r="E312" i="1"/>
  <c r="C312" i="1"/>
  <c r="B312" i="1"/>
  <c r="A312" i="1"/>
  <c r="AP311" i="1"/>
  <c r="AO311" i="1"/>
  <c r="AR311" i="1" s="1"/>
  <c r="AL311" i="1"/>
  <c r="AK311" i="1"/>
  <c r="AN311" i="1" s="1"/>
  <c r="AE311" i="1"/>
  <c r="AC311" i="1"/>
  <c r="AB311" i="1"/>
  <c r="AA311" i="1"/>
  <c r="Y311" i="1"/>
  <c r="X311" i="1"/>
  <c r="V311" i="1"/>
  <c r="T311" i="1"/>
  <c r="S311" i="1"/>
  <c r="R311" i="1"/>
  <c r="Q311" i="1"/>
  <c r="P311" i="1"/>
  <c r="O311" i="1"/>
  <c r="N311" i="1"/>
  <c r="M311" i="1"/>
  <c r="U311" i="1" s="1"/>
  <c r="L311" i="1"/>
  <c r="F311" i="1"/>
  <c r="G311" i="1" s="1"/>
  <c r="E311" i="1"/>
  <c r="C311" i="1"/>
  <c r="B311" i="1"/>
  <c r="A311" i="1"/>
  <c r="AP310" i="1"/>
  <c r="AO310" i="1"/>
  <c r="AR310" i="1" s="1"/>
  <c r="AL310" i="1"/>
  <c r="AK310" i="1"/>
  <c r="AN310" i="1" s="1"/>
  <c r="AE310" i="1"/>
  <c r="AC310" i="1"/>
  <c r="AB310" i="1"/>
  <c r="AA310" i="1"/>
  <c r="Y310" i="1"/>
  <c r="X310" i="1"/>
  <c r="V310" i="1"/>
  <c r="T310" i="1"/>
  <c r="S310" i="1"/>
  <c r="R310" i="1"/>
  <c r="Q310" i="1"/>
  <c r="P310" i="1"/>
  <c r="O310" i="1"/>
  <c r="N310" i="1"/>
  <c r="M310" i="1"/>
  <c r="U310" i="1" s="1"/>
  <c r="L310" i="1"/>
  <c r="F310" i="1"/>
  <c r="G310" i="1" s="1"/>
  <c r="E310" i="1"/>
  <c r="C310" i="1"/>
  <c r="B310" i="1"/>
  <c r="A310" i="1"/>
  <c r="AP309" i="1"/>
  <c r="AO309" i="1"/>
  <c r="AR309" i="1" s="1"/>
  <c r="AL309" i="1"/>
  <c r="AK309" i="1"/>
  <c r="AN309" i="1" s="1"/>
  <c r="AE309" i="1"/>
  <c r="AC309" i="1"/>
  <c r="AB309" i="1"/>
  <c r="AA309" i="1"/>
  <c r="Y309" i="1"/>
  <c r="X309" i="1"/>
  <c r="V309" i="1"/>
  <c r="T309" i="1"/>
  <c r="S309" i="1"/>
  <c r="R309" i="1"/>
  <c r="Q309" i="1"/>
  <c r="P309" i="1"/>
  <c r="O309" i="1"/>
  <c r="N309" i="1"/>
  <c r="M309" i="1"/>
  <c r="U309" i="1" s="1"/>
  <c r="L309" i="1"/>
  <c r="F309" i="1"/>
  <c r="G309" i="1" s="1"/>
  <c r="E309" i="1"/>
  <c r="C309" i="1"/>
  <c r="B309" i="1"/>
  <c r="A309" i="1"/>
  <c r="AQ308" i="1"/>
  <c r="AR308" i="1" s="1"/>
  <c r="AP308" i="1"/>
  <c r="AO308" i="1"/>
  <c r="AM308" i="1"/>
  <c r="AN308" i="1" s="1"/>
  <c r="AL308" i="1"/>
  <c r="AK308" i="1"/>
  <c r="AE308" i="1"/>
  <c r="AC308" i="1"/>
  <c r="AB308" i="1"/>
  <c r="AA308" i="1"/>
  <c r="Y308" i="1"/>
  <c r="X308" i="1"/>
  <c r="V308" i="1"/>
  <c r="T308" i="1"/>
  <c r="S308" i="1"/>
  <c r="R308" i="1"/>
  <c r="Q308" i="1"/>
  <c r="P308" i="1"/>
  <c r="O308" i="1"/>
  <c r="N308" i="1"/>
  <c r="M308" i="1"/>
  <c r="U308" i="1" s="1"/>
  <c r="L308" i="1"/>
  <c r="F308" i="1"/>
  <c r="G308" i="1" s="1"/>
  <c r="E308" i="1"/>
  <c r="C308" i="1"/>
  <c r="B308" i="1"/>
  <c r="A308" i="1"/>
  <c r="AP307" i="1"/>
  <c r="AO307" i="1"/>
  <c r="AL307" i="1"/>
  <c r="AK307" i="1"/>
  <c r="AE307" i="1"/>
  <c r="AC307" i="1"/>
  <c r="AB307" i="1"/>
  <c r="AA307" i="1"/>
  <c r="Y307" i="1"/>
  <c r="X307" i="1"/>
  <c r="V307" i="1"/>
  <c r="T307" i="1"/>
  <c r="S307" i="1"/>
  <c r="R307" i="1"/>
  <c r="Q307" i="1"/>
  <c r="P307" i="1"/>
  <c r="O307" i="1"/>
  <c r="N307" i="1"/>
  <c r="M307" i="1"/>
  <c r="U307" i="1" s="1"/>
  <c r="K307" i="1"/>
  <c r="L307" i="1" s="1"/>
  <c r="F307" i="1"/>
  <c r="G307" i="1" s="1"/>
  <c r="E307" i="1"/>
  <c r="C307" i="1"/>
  <c r="B307" i="1"/>
  <c r="A307" i="1"/>
  <c r="AP306" i="1"/>
  <c r="AO306" i="1"/>
  <c r="AR306" i="1" s="1"/>
  <c r="AL306" i="1"/>
  <c r="AK306" i="1"/>
  <c r="AN306" i="1" s="1"/>
  <c r="AE306" i="1"/>
  <c r="AC306" i="1"/>
  <c r="AB306" i="1"/>
  <c r="AA306" i="1"/>
  <c r="Y306" i="1"/>
  <c r="X306" i="1"/>
  <c r="V306" i="1"/>
  <c r="T306" i="1"/>
  <c r="S306" i="1"/>
  <c r="R306" i="1"/>
  <c r="Q306" i="1"/>
  <c r="P306" i="1"/>
  <c r="O306" i="1"/>
  <c r="N306" i="1"/>
  <c r="M306" i="1"/>
  <c r="U306" i="1" s="1"/>
  <c r="L306" i="1"/>
  <c r="F306" i="1"/>
  <c r="G306" i="1" s="1"/>
  <c r="E306" i="1"/>
  <c r="C306" i="1"/>
  <c r="B306" i="1"/>
  <c r="A306" i="1"/>
  <c r="AP305" i="1"/>
  <c r="AO305" i="1"/>
  <c r="AL305" i="1"/>
  <c r="AK305" i="1"/>
  <c r="AE305" i="1"/>
  <c r="AC305" i="1"/>
  <c r="AB305" i="1"/>
  <c r="AA305" i="1"/>
  <c r="Y305" i="1"/>
  <c r="X305" i="1"/>
  <c r="V305" i="1"/>
  <c r="T305" i="1"/>
  <c r="S305" i="1"/>
  <c r="R305" i="1"/>
  <c r="Q305" i="1"/>
  <c r="P305" i="1"/>
  <c r="O305" i="1"/>
  <c r="N305" i="1"/>
  <c r="M305" i="1"/>
  <c r="U305" i="1" s="1"/>
  <c r="K305" i="1"/>
  <c r="L305" i="1" s="1"/>
  <c r="F305" i="1"/>
  <c r="G305" i="1" s="1"/>
  <c r="E305" i="1"/>
  <c r="C305" i="1"/>
  <c r="B305" i="1"/>
  <c r="A305" i="1"/>
  <c r="AP304" i="1"/>
  <c r="AO304" i="1"/>
  <c r="AR304" i="1" s="1"/>
  <c r="AL304" i="1"/>
  <c r="AK304" i="1"/>
  <c r="AN304" i="1" s="1"/>
  <c r="AE304" i="1"/>
  <c r="AC304" i="1"/>
  <c r="AB304" i="1"/>
  <c r="AA304" i="1"/>
  <c r="Y304" i="1"/>
  <c r="X304" i="1"/>
  <c r="V304" i="1"/>
  <c r="T304" i="1"/>
  <c r="S304" i="1"/>
  <c r="R304" i="1"/>
  <c r="Q304" i="1"/>
  <c r="P304" i="1"/>
  <c r="O304" i="1"/>
  <c r="N304" i="1"/>
  <c r="M304" i="1"/>
  <c r="U304" i="1" s="1"/>
  <c r="L304" i="1"/>
  <c r="F304" i="1"/>
  <c r="G304" i="1" s="1"/>
  <c r="E304" i="1"/>
  <c r="C304" i="1"/>
  <c r="B304" i="1"/>
  <c r="A304" i="1"/>
  <c r="AP303" i="1"/>
  <c r="AO303" i="1"/>
  <c r="AR303" i="1" s="1"/>
  <c r="AL303" i="1"/>
  <c r="AK303" i="1"/>
  <c r="AN303" i="1" s="1"/>
  <c r="AE303" i="1"/>
  <c r="AC303" i="1"/>
  <c r="AB303" i="1"/>
  <c r="AA303" i="1"/>
  <c r="Y303" i="1"/>
  <c r="X303" i="1"/>
  <c r="V303" i="1"/>
  <c r="T303" i="1"/>
  <c r="S303" i="1"/>
  <c r="R303" i="1"/>
  <c r="Q303" i="1"/>
  <c r="P303" i="1"/>
  <c r="O303" i="1"/>
  <c r="N303" i="1"/>
  <c r="M303" i="1"/>
  <c r="U303" i="1" s="1"/>
  <c r="L303" i="1"/>
  <c r="F303" i="1"/>
  <c r="G303" i="1" s="1"/>
  <c r="E303" i="1"/>
  <c r="C303" i="1"/>
  <c r="B303" i="1"/>
  <c r="A303" i="1"/>
  <c r="AP302" i="1"/>
  <c r="AO302" i="1"/>
  <c r="AR302" i="1" s="1"/>
  <c r="AL302" i="1"/>
  <c r="AK302" i="1"/>
  <c r="AN302" i="1" s="1"/>
  <c r="AE302" i="1"/>
  <c r="AC302" i="1"/>
  <c r="AB302" i="1"/>
  <c r="AA302" i="1"/>
  <c r="Y302" i="1"/>
  <c r="X302" i="1"/>
  <c r="V302" i="1"/>
  <c r="T302" i="1"/>
  <c r="S302" i="1"/>
  <c r="R302" i="1"/>
  <c r="Q302" i="1"/>
  <c r="P302" i="1"/>
  <c r="O302" i="1"/>
  <c r="N302" i="1"/>
  <c r="M302" i="1"/>
  <c r="U302" i="1" s="1"/>
  <c r="L302" i="1"/>
  <c r="F302" i="1"/>
  <c r="G302" i="1" s="1"/>
  <c r="E302" i="1"/>
  <c r="C302" i="1"/>
  <c r="B302" i="1"/>
  <c r="A302" i="1"/>
  <c r="AQ301" i="1"/>
  <c r="AR301" i="1" s="1"/>
  <c r="AP301" i="1"/>
  <c r="AO301" i="1"/>
  <c r="AM301" i="1"/>
  <c r="AN301" i="1" s="1"/>
  <c r="AL301" i="1"/>
  <c r="AK301" i="1"/>
  <c r="AE301" i="1"/>
  <c r="AC301" i="1"/>
  <c r="AB301" i="1"/>
  <c r="AA301" i="1"/>
  <c r="Y301" i="1"/>
  <c r="X301" i="1"/>
  <c r="V301" i="1"/>
  <c r="T301" i="1"/>
  <c r="S301" i="1"/>
  <c r="R301" i="1"/>
  <c r="Q301" i="1"/>
  <c r="P301" i="1"/>
  <c r="O301" i="1"/>
  <c r="N301" i="1"/>
  <c r="M301" i="1"/>
  <c r="U301" i="1" s="1"/>
  <c r="L301" i="1"/>
  <c r="F301" i="1"/>
  <c r="G301" i="1" s="1"/>
  <c r="E301" i="1"/>
  <c r="C301" i="1"/>
  <c r="B301" i="1"/>
  <c r="A301" i="1"/>
  <c r="AP300" i="1"/>
  <c r="AO300" i="1"/>
  <c r="AR300" i="1" s="1"/>
  <c r="AL300" i="1"/>
  <c r="AK300" i="1"/>
  <c r="AN300" i="1" s="1"/>
  <c r="AE300" i="1"/>
  <c r="AC300" i="1"/>
  <c r="AB300" i="1"/>
  <c r="AA300" i="1"/>
  <c r="Y300" i="1"/>
  <c r="X300" i="1"/>
  <c r="V300" i="1"/>
  <c r="T300" i="1"/>
  <c r="S300" i="1"/>
  <c r="R300" i="1"/>
  <c r="Q300" i="1"/>
  <c r="P300" i="1"/>
  <c r="O300" i="1"/>
  <c r="N300" i="1"/>
  <c r="M300" i="1"/>
  <c r="U300" i="1" s="1"/>
  <c r="L300" i="1"/>
  <c r="F300" i="1"/>
  <c r="G300" i="1" s="1"/>
  <c r="E300" i="1"/>
  <c r="C300" i="1"/>
  <c r="B300" i="1"/>
  <c r="A300" i="1"/>
  <c r="AQ299" i="1"/>
  <c r="AR299" i="1" s="1"/>
  <c r="AP299" i="1"/>
  <c r="AO299" i="1"/>
  <c r="AM299" i="1"/>
  <c r="AN299" i="1" s="1"/>
  <c r="AL299" i="1"/>
  <c r="AK299" i="1"/>
  <c r="AE299" i="1"/>
  <c r="AC299" i="1"/>
  <c r="AB299" i="1"/>
  <c r="AA299" i="1"/>
  <c r="Y299" i="1"/>
  <c r="X299" i="1"/>
  <c r="V299" i="1"/>
  <c r="T299" i="1"/>
  <c r="S299" i="1"/>
  <c r="R299" i="1"/>
  <c r="Q299" i="1"/>
  <c r="P299" i="1"/>
  <c r="O299" i="1"/>
  <c r="N299" i="1"/>
  <c r="M299" i="1"/>
  <c r="U299" i="1" s="1"/>
  <c r="L299" i="1"/>
  <c r="F299" i="1"/>
  <c r="G299" i="1" s="1"/>
  <c r="E299" i="1"/>
  <c r="C299" i="1"/>
  <c r="B299" i="1"/>
  <c r="A299" i="1"/>
  <c r="AP298" i="1"/>
  <c r="AO298" i="1"/>
  <c r="AR298" i="1" s="1"/>
  <c r="AL298" i="1"/>
  <c r="AK298" i="1"/>
  <c r="AN298" i="1" s="1"/>
  <c r="AE298" i="1"/>
  <c r="AC298" i="1"/>
  <c r="AB298" i="1"/>
  <c r="AA298" i="1"/>
  <c r="Y298" i="1"/>
  <c r="X298" i="1"/>
  <c r="V298" i="1"/>
  <c r="T298" i="1"/>
  <c r="S298" i="1"/>
  <c r="R298" i="1"/>
  <c r="Q298" i="1"/>
  <c r="P298" i="1"/>
  <c r="O298" i="1"/>
  <c r="N298" i="1"/>
  <c r="M298" i="1"/>
  <c r="U298" i="1" s="1"/>
  <c r="L298" i="1"/>
  <c r="F298" i="1"/>
  <c r="G298" i="1" s="1"/>
  <c r="E298" i="1"/>
  <c r="C298" i="1"/>
  <c r="B298" i="1"/>
  <c r="A298" i="1"/>
  <c r="AP297" i="1"/>
  <c r="AO297" i="1"/>
  <c r="AR297" i="1" s="1"/>
  <c r="AL297" i="1"/>
  <c r="AK297" i="1"/>
  <c r="AN297" i="1" s="1"/>
  <c r="AE297" i="1"/>
  <c r="AC297" i="1"/>
  <c r="AB297" i="1"/>
  <c r="AA297" i="1"/>
  <c r="Y297" i="1"/>
  <c r="X297" i="1"/>
  <c r="V297" i="1"/>
  <c r="T297" i="1"/>
  <c r="S297" i="1"/>
  <c r="R297" i="1"/>
  <c r="Q297" i="1"/>
  <c r="P297" i="1"/>
  <c r="O297" i="1"/>
  <c r="N297" i="1"/>
  <c r="M297" i="1"/>
  <c r="U297" i="1" s="1"/>
  <c r="L297" i="1"/>
  <c r="F297" i="1"/>
  <c r="G297" i="1" s="1"/>
  <c r="E297" i="1"/>
  <c r="C297" i="1"/>
  <c r="B297" i="1"/>
  <c r="A297" i="1"/>
  <c r="AQ296" i="1"/>
  <c r="AR296" i="1" s="1"/>
  <c r="AP296" i="1"/>
  <c r="AO296" i="1"/>
  <c r="AM296" i="1"/>
  <c r="AN296" i="1" s="1"/>
  <c r="AL296" i="1"/>
  <c r="AK296" i="1"/>
  <c r="AE296" i="1"/>
  <c r="AC296" i="1"/>
  <c r="AB296" i="1"/>
  <c r="AA296" i="1"/>
  <c r="Y296" i="1"/>
  <c r="X296" i="1"/>
  <c r="V296" i="1"/>
  <c r="T296" i="1"/>
  <c r="S296" i="1"/>
  <c r="R296" i="1"/>
  <c r="Q296" i="1"/>
  <c r="P296" i="1"/>
  <c r="O296" i="1"/>
  <c r="N296" i="1"/>
  <c r="M296" i="1"/>
  <c r="U296" i="1" s="1"/>
  <c r="L296" i="1"/>
  <c r="F296" i="1"/>
  <c r="G296" i="1" s="1"/>
  <c r="E296" i="1"/>
  <c r="C296" i="1"/>
  <c r="B296" i="1"/>
  <c r="A296" i="1"/>
  <c r="AP295" i="1"/>
  <c r="AO295" i="1"/>
  <c r="AL295" i="1"/>
  <c r="AK295" i="1"/>
  <c r="AE295" i="1"/>
  <c r="AC295" i="1"/>
  <c r="AB295" i="1"/>
  <c r="AA295" i="1"/>
  <c r="Y295" i="1"/>
  <c r="X295" i="1"/>
  <c r="V295" i="1"/>
  <c r="T295" i="1"/>
  <c r="S295" i="1"/>
  <c r="R295" i="1"/>
  <c r="Q295" i="1"/>
  <c r="P295" i="1"/>
  <c r="O295" i="1"/>
  <c r="N295" i="1"/>
  <c r="M295" i="1"/>
  <c r="U295" i="1" s="1"/>
  <c r="K295" i="1"/>
  <c r="L295" i="1" s="1"/>
  <c r="F295" i="1"/>
  <c r="G295" i="1" s="1"/>
  <c r="E295" i="1"/>
  <c r="C295" i="1"/>
  <c r="B295" i="1"/>
  <c r="A295" i="1"/>
  <c r="AP294" i="1"/>
  <c r="AO294" i="1"/>
  <c r="AR294" i="1" s="1"/>
  <c r="AL294" i="1"/>
  <c r="AK294" i="1"/>
  <c r="AN294" i="1" s="1"/>
  <c r="AE294" i="1"/>
  <c r="AC294" i="1"/>
  <c r="AB294" i="1"/>
  <c r="AA294" i="1"/>
  <c r="Y294" i="1"/>
  <c r="X294" i="1"/>
  <c r="V294" i="1"/>
  <c r="T294" i="1"/>
  <c r="S294" i="1"/>
  <c r="R294" i="1"/>
  <c r="Q294" i="1"/>
  <c r="P294" i="1"/>
  <c r="O294" i="1"/>
  <c r="N294" i="1"/>
  <c r="M294" i="1"/>
  <c r="U294" i="1" s="1"/>
  <c r="L294" i="1"/>
  <c r="F294" i="1"/>
  <c r="G294" i="1" s="1"/>
  <c r="E294" i="1"/>
  <c r="C294" i="1"/>
  <c r="B294" i="1"/>
  <c r="A294" i="1"/>
  <c r="AP293" i="1"/>
  <c r="AO293" i="1"/>
  <c r="AR293" i="1" s="1"/>
  <c r="AL293" i="1"/>
  <c r="AK293" i="1"/>
  <c r="AN293" i="1" s="1"/>
  <c r="AE293" i="1"/>
  <c r="AC293" i="1"/>
  <c r="AB293" i="1"/>
  <c r="AA293" i="1"/>
  <c r="Y293" i="1"/>
  <c r="X293" i="1"/>
  <c r="V293" i="1"/>
  <c r="T293" i="1"/>
  <c r="S293" i="1"/>
  <c r="R293" i="1"/>
  <c r="Q293" i="1"/>
  <c r="P293" i="1"/>
  <c r="O293" i="1"/>
  <c r="N293" i="1"/>
  <c r="M293" i="1"/>
  <c r="U293" i="1" s="1"/>
  <c r="L293" i="1"/>
  <c r="F293" i="1"/>
  <c r="G293" i="1" s="1"/>
  <c r="E293" i="1"/>
  <c r="C293" i="1"/>
  <c r="B293" i="1"/>
  <c r="A293" i="1"/>
  <c r="AP292" i="1"/>
  <c r="AO292" i="1"/>
  <c r="AR292" i="1" s="1"/>
  <c r="AL292" i="1"/>
  <c r="AK292" i="1"/>
  <c r="AN292" i="1" s="1"/>
  <c r="AE292" i="1"/>
  <c r="AC292" i="1"/>
  <c r="AB292" i="1"/>
  <c r="AA292" i="1"/>
  <c r="Y292" i="1"/>
  <c r="X292" i="1"/>
  <c r="V292" i="1"/>
  <c r="T292" i="1"/>
  <c r="S292" i="1"/>
  <c r="R292" i="1"/>
  <c r="Q292" i="1"/>
  <c r="P292" i="1"/>
  <c r="O292" i="1"/>
  <c r="N292" i="1"/>
  <c r="M292" i="1"/>
  <c r="U292" i="1" s="1"/>
  <c r="L292" i="1"/>
  <c r="F292" i="1"/>
  <c r="G292" i="1" s="1"/>
  <c r="E292" i="1"/>
  <c r="C292" i="1"/>
  <c r="B292" i="1"/>
  <c r="A292" i="1"/>
  <c r="AP291" i="1"/>
  <c r="AO291" i="1"/>
  <c r="AR291" i="1" s="1"/>
  <c r="AL291" i="1"/>
  <c r="AK291" i="1"/>
  <c r="AN291" i="1" s="1"/>
  <c r="AE291" i="1"/>
  <c r="AC291" i="1"/>
  <c r="AB291" i="1"/>
  <c r="AA291" i="1"/>
  <c r="Y291" i="1"/>
  <c r="X291" i="1"/>
  <c r="V291" i="1"/>
  <c r="T291" i="1"/>
  <c r="S291" i="1"/>
  <c r="R291" i="1"/>
  <c r="Q291" i="1"/>
  <c r="P291" i="1"/>
  <c r="O291" i="1"/>
  <c r="N291" i="1"/>
  <c r="M291" i="1"/>
  <c r="U291" i="1" s="1"/>
  <c r="L291" i="1"/>
  <c r="F291" i="1"/>
  <c r="G291" i="1" s="1"/>
  <c r="E291" i="1"/>
  <c r="C291" i="1"/>
  <c r="B291" i="1"/>
  <c r="A291" i="1"/>
  <c r="AP290" i="1"/>
  <c r="AO290" i="1"/>
  <c r="AL290" i="1"/>
  <c r="AK290" i="1"/>
  <c r="AE290" i="1"/>
  <c r="AC290" i="1"/>
  <c r="AB290" i="1"/>
  <c r="AA290" i="1"/>
  <c r="Y290" i="1"/>
  <c r="X290" i="1"/>
  <c r="V290" i="1"/>
  <c r="T290" i="1"/>
  <c r="S290" i="1"/>
  <c r="R290" i="1"/>
  <c r="Q290" i="1"/>
  <c r="P290" i="1"/>
  <c r="O290" i="1"/>
  <c r="N290" i="1"/>
  <c r="M290" i="1"/>
  <c r="U290" i="1" s="1"/>
  <c r="K290" i="1"/>
  <c r="L290" i="1" s="1"/>
  <c r="F290" i="1"/>
  <c r="G290" i="1" s="1"/>
  <c r="E290" i="1"/>
  <c r="C290" i="1"/>
  <c r="B290" i="1"/>
  <c r="A290" i="1"/>
  <c r="AP289" i="1"/>
  <c r="AO289" i="1"/>
  <c r="AR289" i="1" s="1"/>
  <c r="AL289" i="1"/>
  <c r="AK289" i="1"/>
  <c r="AN289" i="1" s="1"/>
  <c r="AE289" i="1"/>
  <c r="AC289" i="1"/>
  <c r="AB289" i="1"/>
  <c r="AA289" i="1"/>
  <c r="Y289" i="1"/>
  <c r="X289" i="1"/>
  <c r="V289" i="1"/>
  <c r="T289" i="1"/>
  <c r="S289" i="1"/>
  <c r="R289" i="1"/>
  <c r="Q289" i="1"/>
  <c r="P289" i="1"/>
  <c r="O289" i="1"/>
  <c r="N289" i="1"/>
  <c r="M289" i="1"/>
  <c r="U289" i="1" s="1"/>
  <c r="L289" i="1"/>
  <c r="F289" i="1"/>
  <c r="G289" i="1" s="1"/>
  <c r="E289" i="1"/>
  <c r="C289" i="1"/>
  <c r="B289" i="1"/>
  <c r="A289" i="1"/>
  <c r="AQ288" i="1"/>
  <c r="AR288" i="1" s="1"/>
  <c r="AP288" i="1"/>
  <c r="AO288" i="1"/>
  <c r="AM288" i="1"/>
  <c r="AN288" i="1" s="1"/>
  <c r="AL288" i="1"/>
  <c r="AK288" i="1"/>
  <c r="AE288" i="1"/>
  <c r="AC288" i="1"/>
  <c r="AB288" i="1"/>
  <c r="AA288" i="1"/>
  <c r="Y288" i="1"/>
  <c r="X288" i="1"/>
  <c r="V288" i="1"/>
  <c r="T288" i="1"/>
  <c r="S288" i="1"/>
  <c r="R288" i="1"/>
  <c r="Q288" i="1"/>
  <c r="P288" i="1"/>
  <c r="O288" i="1"/>
  <c r="N288" i="1"/>
  <c r="M288" i="1"/>
  <c r="U288" i="1" s="1"/>
  <c r="L288" i="1"/>
  <c r="F288" i="1"/>
  <c r="G288" i="1" s="1"/>
  <c r="E288" i="1"/>
  <c r="C288" i="1"/>
  <c r="B288" i="1"/>
  <c r="A288" i="1"/>
  <c r="AQ287" i="1"/>
  <c r="AR287" i="1" s="1"/>
  <c r="AP287" i="1"/>
  <c r="AO287" i="1"/>
  <c r="AM287" i="1"/>
  <c r="AN287" i="1" s="1"/>
  <c r="AL287" i="1"/>
  <c r="AK287" i="1"/>
  <c r="AE287" i="1"/>
  <c r="AC287" i="1"/>
  <c r="AB287" i="1"/>
  <c r="AA287" i="1"/>
  <c r="Y287" i="1"/>
  <c r="Z287" i="1" s="1"/>
  <c r="X287" i="1"/>
  <c r="V287" i="1"/>
  <c r="T287" i="1"/>
  <c r="S287" i="1"/>
  <c r="R287" i="1"/>
  <c r="Q287" i="1"/>
  <c r="P287" i="1"/>
  <c r="O287" i="1"/>
  <c r="N287" i="1"/>
  <c r="M287" i="1"/>
  <c r="U287" i="1" s="1"/>
  <c r="L287" i="1"/>
  <c r="F287" i="1"/>
  <c r="G287" i="1" s="1"/>
  <c r="E287" i="1"/>
  <c r="C287" i="1"/>
  <c r="B287" i="1"/>
  <c r="A287" i="1"/>
  <c r="AQ286" i="1"/>
  <c r="AR286" i="1" s="1"/>
  <c r="AP286" i="1"/>
  <c r="AO286" i="1"/>
  <c r="AM286" i="1"/>
  <c r="AN286" i="1" s="1"/>
  <c r="AL286" i="1"/>
  <c r="AK286" i="1"/>
  <c r="AE286" i="1"/>
  <c r="AC286" i="1"/>
  <c r="AB286" i="1"/>
  <c r="AA286" i="1"/>
  <c r="Y286" i="1"/>
  <c r="X286" i="1"/>
  <c r="V286" i="1"/>
  <c r="T286" i="1"/>
  <c r="S286" i="1"/>
  <c r="R286" i="1"/>
  <c r="Q286" i="1"/>
  <c r="P286" i="1"/>
  <c r="O286" i="1"/>
  <c r="N286" i="1"/>
  <c r="M286" i="1"/>
  <c r="U286" i="1" s="1"/>
  <c r="L286" i="1"/>
  <c r="F286" i="1"/>
  <c r="G286" i="1" s="1"/>
  <c r="E286" i="1"/>
  <c r="C286" i="1"/>
  <c r="B286" i="1"/>
  <c r="A286" i="1"/>
  <c r="AQ285" i="1"/>
  <c r="AR285" i="1" s="1"/>
  <c r="AP285" i="1"/>
  <c r="AO285" i="1"/>
  <c r="AM285" i="1"/>
  <c r="AN285" i="1" s="1"/>
  <c r="AL285" i="1"/>
  <c r="AK285" i="1"/>
  <c r="AE285" i="1"/>
  <c r="AC285" i="1"/>
  <c r="AB285" i="1"/>
  <c r="AA285" i="1"/>
  <c r="Y285" i="1"/>
  <c r="X285" i="1"/>
  <c r="V285" i="1"/>
  <c r="T285" i="1"/>
  <c r="S285" i="1"/>
  <c r="R285" i="1"/>
  <c r="Q285" i="1"/>
  <c r="P285" i="1"/>
  <c r="O285" i="1"/>
  <c r="N285" i="1"/>
  <c r="M285" i="1"/>
  <c r="U285" i="1" s="1"/>
  <c r="L285" i="1"/>
  <c r="F285" i="1"/>
  <c r="G285" i="1" s="1"/>
  <c r="E285" i="1"/>
  <c r="C285" i="1"/>
  <c r="B285" i="1"/>
  <c r="A285" i="1"/>
  <c r="AQ284" i="1"/>
  <c r="AR284" i="1" s="1"/>
  <c r="AP284" i="1"/>
  <c r="AO284" i="1"/>
  <c r="AM284" i="1"/>
  <c r="AN284" i="1" s="1"/>
  <c r="AL284" i="1"/>
  <c r="AK284" i="1"/>
  <c r="AE284" i="1"/>
  <c r="AC284" i="1"/>
  <c r="AB284" i="1"/>
  <c r="AA284" i="1"/>
  <c r="Y284" i="1"/>
  <c r="X284" i="1"/>
  <c r="T284" i="1"/>
  <c r="S284" i="1"/>
  <c r="R284" i="1"/>
  <c r="Q284" i="1"/>
  <c r="P284" i="1"/>
  <c r="O284" i="1"/>
  <c r="N284" i="1"/>
  <c r="M284" i="1"/>
  <c r="U284" i="1" s="1"/>
  <c r="L284" i="1"/>
  <c r="F284" i="1"/>
  <c r="G284" i="1" s="1"/>
  <c r="E284" i="1"/>
  <c r="C284" i="1"/>
  <c r="B284" i="1"/>
  <c r="A284" i="1"/>
  <c r="AQ283" i="1"/>
  <c r="AR283" i="1" s="1"/>
  <c r="AP283" i="1"/>
  <c r="AO283" i="1"/>
  <c r="AM283" i="1"/>
  <c r="AN283" i="1" s="1"/>
  <c r="AL283" i="1"/>
  <c r="AK283" i="1"/>
  <c r="AE283" i="1"/>
  <c r="AC283" i="1"/>
  <c r="AB283" i="1"/>
  <c r="AA283" i="1"/>
  <c r="Y283" i="1"/>
  <c r="X283" i="1"/>
  <c r="T283" i="1"/>
  <c r="S283" i="1"/>
  <c r="R283" i="1"/>
  <c r="Q283" i="1"/>
  <c r="P283" i="1"/>
  <c r="O283" i="1"/>
  <c r="N283" i="1"/>
  <c r="M283" i="1"/>
  <c r="U283" i="1" s="1"/>
  <c r="L283" i="1"/>
  <c r="F283" i="1"/>
  <c r="G283" i="1" s="1"/>
  <c r="E283" i="1"/>
  <c r="C283" i="1"/>
  <c r="B283" i="1"/>
  <c r="A283" i="1"/>
  <c r="AP282" i="1"/>
  <c r="AO282" i="1"/>
  <c r="AL282" i="1"/>
  <c r="AK282" i="1"/>
  <c r="AE282" i="1"/>
  <c r="AC282" i="1"/>
  <c r="AB282" i="1"/>
  <c r="AA282" i="1"/>
  <c r="Y282" i="1"/>
  <c r="X282" i="1"/>
  <c r="T282" i="1"/>
  <c r="S282" i="1"/>
  <c r="R282" i="1"/>
  <c r="Q282" i="1"/>
  <c r="P282" i="1"/>
  <c r="O282" i="1"/>
  <c r="N282" i="1"/>
  <c r="M282" i="1"/>
  <c r="U282" i="1" s="1"/>
  <c r="K282" i="1"/>
  <c r="L282" i="1" s="1"/>
  <c r="F282" i="1"/>
  <c r="G282" i="1" s="1"/>
  <c r="E282" i="1"/>
  <c r="C282" i="1"/>
  <c r="B282" i="1"/>
  <c r="A282" i="1"/>
  <c r="AQ281" i="1"/>
  <c r="AR281" i="1" s="1"/>
  <c r="AP281" i="1"/>
  <c r="AO281" i="1"/>
  <c r="AM281" i="1"/>
  <c r="AN281" i="1" s="1"/>
  <c r="AL281" i="1"/>
  <c r="AK281" i="1"/>
  <c r="AE281" i="1"/>
  <c r="AC281" i="1"/>
  <c r="AB281" i="1"/>
  <c r="AA281" i="1"/>
  <c r="Y281" i="1"/>
  <c r="X281" i="1"/>
  <c r="T281" i="1"/>
  <c r="S281" i="1"/>
  <c r="R281" i="1"/>
  <c r="Q281" i="1"/>
  <c r="P281" i="1"/>
  <c r="O281" i="1"/>
  <c r="N281" i="1"/>
  <c r="M281" i="1"/>
  <c r="U281" i="1" s="1"/>
  <c r="L281" i="1"/>
  <c r="F281" i="1"/>
  <c r="G281" i="1" s="1"/>
  <c r="E281" i="1"/>
  <c r="C281" i="1"/>
  <c r="B281" i="1"/>
  <c r="A281" i="1"/>
  <c r="AP280" i="1"/>
  <c r="AO280" i="1"/>
  <c r="AL280" i="1"/>
  <c r="AK280" i="1"/>
  <c r="AE280" i="1"/>
  <c r="AC280" i="1"/>
  <c r="AB280" i="1"/>
  <c r="AA280" i="1"/>
  <c r="Y280" i="1"/>
  <c r="X280" i="1"/>
  <c r="T280" i="1"/>
  <c r="S280" i="1"/>
  <c r="R280" i="1"/>
  <c r="Q280" i="1"/>
  <c r="P280" i="1"/>
  <c r="O280" i="1"/>
  <c r="N280" i="1"/>
  <c r="M280" i="1"/>
  <c r="U280" i="1" s="1"/>
  <c r="K280" i="1"/>
  <c r="L280" i="1" s="1"/>
  <c r="F280" i="1"/>
  <c r="G280" i="1" s="1"/>
  <c r="E280" i="1"/>
  <c r="C280" i="1"/>
  <c r="B280" i="1"/>
  <c r="A280" i="1"/>
  <c r="AP279" i="1"/>
  <c r="AO279" i="1"/>
  <c r="AR279" i="1" s="1"/>
  <c r="AL279" i="1"/>
  <c r="AK279" i="1"/>
  <c r="AN279" i="1" s="1"/>
  <c r="AE279" i="1"/>
  <c r="AC279" i="1"/>
  <c r="AB279" i="1"/>
  <c r="AA279" i="1"/>
  <c r="Y279" i="1"/>
  <c r="X279" i="1"/>
  <c r="T279" i="1"/>
  <c r="S279" i="1"/>
  <c r="R279" i="1"/>
  <c r="Q279" i="1"/>
  <c r="P279" i="1"/>
  <c r="O279" i="1"/>
  <c r="N279" i="1"/>
  <c r="M279" i="1"/>
  <c r="U279" i="1" s="1"/>
  <c r="L279" i="1"/>
  <c r="F279" i="1"/>
  <c r="G279" i="1" s="1"/>
  <c r="E279" i="1"/>
  <c r="C279" i="1"/>
  <c r="B279" i="1"/>
  <c r="A279" i="1"/>
  <c r="AQ278" i="1"/>
  <c r="AR278" i="1" s="1"/>
  <c r="AP278" i="1"/>
  <c r="AO278" i="1"/>
  <c r="AM278" i="1"/>
  <c r="AN278" i="1" s="1"/>
  <c r="AL278" i="1"/>
  <c r="AK278" i="1"/>
  <c r="AE278" i="1"/>
  <c r="AC278" i="1"/>
  <c r="AB278" i="1"/>
  <c r="AA278" i="1"/>
  <c r="Y278" i="1"/>
  <c r="X278" i="1"/>
  <c r="T278" i="1"/>
  <c r="S278" i="1"/>
  <c r="R278" i="1"/>
  <c r="Q278" i="1"/>
  <c r="P278" i="1"/>
  <c r="O278" i="1"/>
  <c r="N278" i="1"/>
  <c r="M278" i="1"/>
  <c r="U278" i="1" s="1"/>
  <c r="L278" i="1"/>
  <c r="F278" i="1"/>
  <c r="G278" i="1" s="1"/>
  <c r="E278" i="1"/>
  <c r="C278" i="1"/>
  <c r="B278" i="1"/>
  <c r="A278" i="1"/>
  <c r="AP277" i="1"/>
  <c r="AO277" i="1"/>
  <c r="AL277" i="1"/>
  <c r="AK277" i="1"/>
  <c r="AE277" i="1"/>
  <c r="AC277" i="1"/>
  <c r="AB277" i="1"/>
  <c r="AA277" i="1"/>
  <c r="Y277" i="1"/>
  <c r="X277" i="1"/>
  <c r="T277" i="1"/>
  <c r="S277" i="1"/>
  <c r="R277" i="1"/>
  <c r="Q277" i="1"/>
  <c r="P277" i="1"/>
  <c r="O277" i="1"/>
  <c r="N277" i="1"/>
  <c r="M277" i="1"/>
  <c r="U277" i="1" s="1"/>
  <c r="K277" i="1"/>
  <c r="L277" i="1" s="1"/>
  <c r="F277" i="1"/>
  <c r="G277" i="1" s="1"/>
  <c r="E277" i="1"/>
  <c r="C277" i="1"/>
  <c r="B277" i="1"/>
  <c r="A277" i="1"/>
  <c r="AP276" i="1"/>
  <c r="AO276" i="1"/>
  <c r="AR276" i="1" s="1"/>
  <c r="AL276" i="1"/>
  <c r="AK276" i="1"/>
  <c r="AN276" i="1" s="1"/>
  <c r="AE276" i="1"/>
  <c r="AC276" i="1"/>
  <c r="AB276" i="1"/>
  <c r="AA276" i="1"/>
  <c r="Y276" i="1"/>
  <c r="X276" i="1"/>
  <c r="T276" i="1"/>
  <c r="S276" i="1"/>
  <c r="R276" i="1"/>
  <c r="Q276" i="1"/>
  <c r="P276" i="1"/>
  <c r="O276" i="1"/>
  <c r="N276" i="1"/>
  <c r="M276" i="1"/>
  <c r="U276" i="1" s="1"/>
  <c r="L276" i="1"/>
  <c r="F276" i="1"/>
  <c r="G276" i="1" s="1"/>
  <c r="E276" i="1"/>
  <c r="C276" i="1"/>
  <c r="B276" i="1"/>
  <c r="A276" i="1"/>
  <c r="AP275" i="1"/>
  <c r="AO275" i="1"/>
  <c r="AR275" i="1" s="1"/>
  <c r="AL275" i="1"/>
  <c r="AK275" i="1"/>
  <c r="AN275" i="1" s="1"/>
  <c r="AE275" i="1"/>
  <c r="AC275" i="1"/>
  <c r="AB275" i="1"/>
  <c r="AA275" i="1"/>
  <c r="Y275" i="1"/>
  <c r="X275" i="1"/>
  <c r="T275" i="1"/>
  <c r="S275" i="1"/>
  <c r="R275" i="1"/>
  <c r="Q275" i="1"/>
  <c r="P275" i="1"/>
  <c r="O275" i="1"/>
  <c r="N275" i="1"/>
  <c r="M275" i="1"/>
  <c r="U275" i="1" s="1"/>
  <c r="L275" i="1"/>
  <c r="F275" i="1"/>
  <c r="G275" i="1" s="1"/>
  <c r="E275" i="1"/>
  <c r="C275" i="1"/>
  <c r="B275" i="1"/>
  <c r="A275" i="1"/>
  <c r="AP274" i="1"/>
  <c r="AO274" i="1"/>
  <c r="AR274" i="1" s="1"/>
  <c r="AL274" i="1"/>
  <c r="AK274" i="1"/>
  <c r="AN274" i="1" s="1"/>
  <c r="AE274" i="1"/>
  <c r="AC274" i="1"/>
  <c r="AB274" i="1"/>
  <c r="AA274" i="1"/>
  <c r="Y274" i="1"/>
  <c r="X274" i="1"/>
  <c r="V274" i="1"/>
  <c r="T274" i="1"/>
  <c r="S274" i="1"/>
  <c r="R274" i="1"/>
  <c r="Q274" i="1"/>
  <c r="P274" i="1"/>
  <c r="O274" i="1"/>
  <c r="N274" i="1"/>
  <c r="M274" i="1"/>
  <c r="U274" i="1" s="1"/>
  <c r="L274" i="1"/>
  <c r="F274" i="1"/>
  <c r="G274" i="1" s="1"/>
  <c r="E274" i="1"/>
  <c r="C274" i="1"/>
  <c r="B274" i="1"/>
  <c r="A274" i="1"/>
  <c r="AQ273" i="1"/>
  <c r="AR273" i="1" s="1"/>
  <c r="AP273" i="1"/>
  <c r="AO273" i="1"/>
  <c r="AM273" i="1"/>
  <c r="AN273" i="1" s="1"/>
  <c r="AL273" i="1"/>
  <c r="AK273" i="1"/>
  <c r="AE273" i="1"/>
  <c r="AC273" i="1"/>
  <c r="AB273" i="1"/>
  <c r="AA273" i="1"/>
  <c r="Y273" i="1"/>
  <c r="X273" i="1"/>
  <c r="V273" i="1"/>
  <c r="T273" i="1"/>
  <c r="S273" i="1"/>
  <c r="R273" i="1"/>
  <c r="Q273" i="1"/>
  <c r="P273" i="1"/>
  <c r="O273" i="1"/>
  <c r="N273" i="1"/>
  <c r="M273" i="1"/>
  <c r="U273" i="1" s="1"/>
  <c r="L273" i="1"/>
  <c r="F273" i="1"/>
  <c r="G273" i="1" s="1"/>
  <c r="E273" i="1"/>
  <c r="C273" i="1"/>
  <c r="B273" i="1"/>
  <c r="A273" i="1"/>
  <c r="AP272" i="1"/>
  <c r="AO272" i="1"/>
  <c r="AL272" i="1"/>
  <c r="AK272" i="1"/>
  <c r="AE272" i="1"/>
  <c r="AC272" i="1"/>
  <c r="AB272" i="1"/>
  <c r="AA272" i="1"/>
  <c r="Y272" i="1"/>
  <c r="X272" i="1"/>
  <c r="V272" i="1"/>
  <c r="T272" i="1"/>
  <c r="S272" i="1"/>
  <c r="R272" i="1"/>
  <c r="Q272" i="1"/>
  <c r="P272" i="1"/>
  <c r="O272" i="1"/>
  <c r="N272" i="1"/>
  <c r="M272" i="1"/>
  <c r="U272" i="1" s="1"/>
  <c r="K272" i="1"/>
  <c r="L272" i="1" s="1"/>
  <c r="F272" i="1"/>
  <c r="G272" i="1" s="1"/>
  <c r="E272" i="1"/>
  <c r="C272" i="1"/>
  <c r="B272" i="1"/>
  <c r="A272" i="1"/>
  <c r="AP271" i="1"/>
  <c r="AO271" i="1"/>
  <c r="AR271" i="1" s="1"/>
  <c r="AL271" i="1"/>
  <c r="AK271" i="1"/>
  <c r="AN271" i="1" s="1"/>
  <c r="AE271" i="1"/>
  <c r="AC271" i="1"/>
  <c r="AB271" i="1"/>
  <c r="AA271" i="1"/>
  <c r="Y271" i="1"/>
  <c r="X271" i="1"/>
  <c r="V271" i="1"/>
  <c r="T271" i="1"/>
  <c r="S271" i="1"/>
  <c r="R271" i="1"/>
  <c r="Q271" i="1"/>
  <c r="P271" i="1"/>
  <c r="O271" i="1"/>
  <c r="N271" i="1"/>
  <c r="M271" i="1"/>
  <c r="U271" i="1" s="1"/>
  <c r="L271" i="1"/>
  <c r="F271" i="1"/>
  <c r="G271" i="1" s="1"/>
  <c r="E271" i="1"/>
  <c r="C271" i="1"/>
  <c r="B271" i="1"/>
  <c r="A271" i="1"/>
  <c r="AP270" i="1"/>
  <c r="AO270" i="1"/>
  <c r="AR270" i="1" s="1"/>
  <c r="AL270" i="1"/>
  <c r="AK270" i="1"/>
  <c r="AN270" i="1" s="1"/>
  <c r="AE270" i="1"/>
  <c r="AC270" i="1"/>
  <c r="AB270" i="1"/>
  <c r="AA270" i="1"/>
  <c r="Y270" i="1"/>
  <c r="X270" i="1"/>
  <c r="V270" i="1"/>
  <c r="T270" i="1"/>
  <c r="S270" i="1"/>
  <c r="R270" i="1"/>
  <c r="Q270" i="1"/>
  <c r="P270" i="1"/>
  <c r="O270" i="1"/>
  <c r="N270" i="1"/>
  <c r="M270" i="1"/>
  <c r="U270" i="1" s="1"/>
  <c r="L270" i="1"/>
  <c r="F270" i="1"/>
  <c r="G270" i="1" s="1"/>
  <c r="E270" i="1"/>
  <c r="C270" i="1"/>
  <c r="B270" i="1"/>
  <c r="A270" i="1"/>
  <c r="AP269" i="1"/>
  <c r="AO269" i="1"/>
  <c r="AR269" i="1" s="1"/>
  <c r="AL269" i="1"/>
  <c r="AK269" i="1"/>
  <c r="AN269" i="1" s="1"/>
  <c r="AE269" i="1"/>
  <c r="AC269" i="1"/>
  <c r="AB269" i="1"/>
  <c r="AA269" i="1"/>
  <c r="Y269" i="1"/>
  <c r="X269" i="1"/>
  <c r="V269" i="1"/>
  <c r="T269" i="1"/>
  <c r="S269" i="1"/>
  <c r="R269" i="1"/>
  <c r="Q269" i="1"/>
  <c r="P269" i="1"/>
  <c r="O269" i="1"/>
  <c r="N269" i="1"/>
  <c r="M269" i="1"/>
  <c r="U269" i="1" s="1"/>
  <c r="L269" i="1"/>
  <c r="F269" i="1"/>
  <c r="G269" i="1" s="1"/>
  <c r="E269" i="1"/>
  <c r="C269" i="1"/>
  <c r="B269" i="1"/>
  <c r="A269" i="1"/>
  <c r="AQ268" i="1"/>
  <c r="AR268" i="1" s="1"/>
  <c r="AP268" i="1"/>
  <c r="AO268" i="1"/>
  <c r="AM268" i="1"/>
  <c r="AN268" i="1" s="1"/>
  <c r="AL268" i="1"/>
  <c r="AK268" i="1"/>
  <c r="AE268" i="1"/>
  <c r="AC268" i="1"/>
  <c r="AB268" i="1"/>
  <c r="AA268" i="1"/>
  <c r="Y268" i="1"/>
  <c r="X268" i="1"/>
  <c r="V268" i="1"/>
  <c r="T268" i="1"/>
  <c r="S268" i="1"/>
  <c r="R268" i="1"/>
  <c r="Q268" i="1"/>
  <c r="P268" i="1"/>
  <c r="O268" i="1"/>
  <c r="N268" i="1"/>
  <c r="M268" i="1"/>
  <c r="U268" i="1" s="1"/>
  <c r="L268" i="1"/>
  <c r="F268" i="1"/>
  <c r="G268" i="1" s="1"/>
  <c r="E268" i="1"/>
  <c r="C268" i="1"/>
  <c r="B268" i="1"/>
  <c r="A268" i="1"/>
  <c r="AP267" i="1"/>
  <c r="AO267" i="1"/>
  <c r="AL267" i="1"/>
  <c r="AK267" i="1"/>
  <c r="AE267" i="1"/>
  <c r="AC267" i="1"/>
  <c r="AB267" i="1"/>
  <c r="AA267" i="1"/>
  <c r="Y267" i="1"/>
  <c r="X267" i="1"/>
  <c r="V267" i="1"/>
  <c r="T267" i="1"/>
  <c r="S267" i="1"/>
  <c r="R267" i="1"/>
  <c r="Q267" i="1"/>
  <c r="P267" i="1"/>
  <c r="O267" i="1"/>
  <c r="N267" i="1"/>
  <c r="M267" i="1"/>
  <c r="U267" i="1" s="1"/>
  <c r="K267" i="1"/>
  <c r="L267" i="1" s="1"/>
  <c r="F267" i="1"/>
  <c r="G267" i="1" s="1"/>
  <c r="E267" i="1"/>
  <c r="C267" i="1"/>
  <c r="B267" i="1"/>
  <c r="A267" i="1"/>
  <c r="AP266" i="1"/>
  <c r="AO266" i="1"/>
  <c r="AR266" i="1" s="1"/>
  <c r="AL266" i="1"/>
  <c r="AK266" i="1"/>
  <c r="AN266" i="1" s="1"/>
  <c r="AE266" i="1"/>
  <c r="AC266" i="1"/>
  <c r="AB266" i="1"/>
  <c r="AA266" i="1"/>
  <c r="Y266" i="1"/>
  <c r="X266" i="1"/>
  <c r="V266" i="1"/>
  <c r="T266" i="1"/>
  <c r="S266" i="1"/>
  <c r="R266" i="1"/>
  <c r="Q266" i="1"/>
  <c r="P266" i="1"/>
  <c r="O266" i="1"/>
  <c r="N266" i="1"/>
  <c r="M266" i="1"/>
  <c r="U266" i="1" s="1"/>
  <c r="L266" i="1"/>
  <c r="F266" i="1"/>
  <c r="G266" i="1" s="1"/>
  <c r="E266" i="1"/>
  <c r="C266" i="1"/>
  <c r="B266" i="1"/>
  <c r="A266" i="1"/>
  <c r="AP265" i="1"/>
  <c r="AO265" i="1"/>
  <c r="AR265" i="1" s="1"/>
  <c r="AL265" i="1"/>
  <c r="AK265" i="1"/>
  <c r="AN265" i="1" s="1"/>
  <c r="AE265" i="1"/>
  <c r="AC265" i="1"/>
  <c r="AB265" i="1"/>
  <c r="AA265" i="1"/>
  <c r="Y265" i="1"/>
  <c r="X265" i="1"/>
  <c r="V265" i="1"/>
  <c r="T265" i="1"/>
  <c r="S265" i="1"/>
  <c r="R265" i="1"/>
  <c r="Q265" i="1"/>
  <c r="P265" i="1"/>
  <c r="O265" i="1"/>
  <c r="N265" i="1"/>
  <c r="M265" i="1"/>
  <c r="U265" i="1" s="1"/>
  <c r="L265" i="1"/>
  <c r="F265" i="1"/>
  <c r="G265" i="1" s="1"/>
  <c r="E265" i="1"/>
  <c r="C265" i="1"/>
  <c r="B265" i="1"/>
  <c r="A265" i="1"/>
  <c r="AP264" i="1"/>
  <c r="AO264" i="1"/>
  <c r="AR264" i="1" s="1"/>
  <c r="AL264" i="1"/>
  <c r="AK264" i="1"/>
  <c r="AN264" i="1" s="1"/>
  <c r="AE264" i="1"/>
  <c r="AC264" i="1"/>
  <c r="AB264" i="1"/>
  <c r="AA264" i="1"/>
  <c r="Y264" i="1"/>
  <c r="X264" i="1"/>
  <c r="V264" i="1"/>
  <c r="T264" i="1"/>
  <c r="S264" i="1"/>
  <c r="R264" i="1"/>
  <c r="Q264" i="1"/>
  <c r="P264" i="1"/>
  <c r="O264" i="1"/>
  <c r="N264" i="1"/>
  <c r="M264" i="1"/>
  <c r="U264" i="1" s="1"/>
  <c r="L264" i="1"/>
  <c r="F264" i="1"/>
  <c r="G264" i="1" s="1"/>
  <c r="E264" i="1"/>
  <c r="C264" i="1"/>
  <c r="B264" i="1"/>
  <c r="A264" i="1"/>
  <c r="AQ263" i="1"/>
  <c r="AR263" i="1" s="1"/>
  <c r="AP263" i="1"/>
  <c r="AO263" i="1"/>
  <c r="AM263" i="1"/>
  <c r="AN263" i="1" s="1"/>
  <c r="AL263" i="1"/>
  <c r="AK263" i="1"/>
  <c r="AE263" i="1"/>
  <c r="AC263" i="1"/>
  <c r="AB263" i="1"/>
  <c r="AA263" i="1"/>
  <c r="Y263" i="1"/>
  <c r="X263" i="1"/>
  <c r="V263" i="1"/>
  <c r="T263" i="1"/>
  <c r="S263" i="1"/>
  <c r="R263" i="1"/>
  <c r="Q263" i="1"/>
  <c r="P263" i="1"/>
  <c r="O263" i="1"/>
  <c r="N263" i="1"/>
  <c r="M263" i="1"/>
  <c r="U263" i="1" s="1"/>
  <c r="L263" i="1"/>
  <c r="F263" i="1"/>
  <c r="G263" i="1" s="1"/>
  <c r="E263" i="1"/>
  <c r="C263" i="1"/>
  <c r="B263" i="1"/>
  <c r="A263" i="1"/>
  <c r="AP262" i="1"/>
  <c r="AO262" i="1"/>
  <c r="AR262" i="1" s="1"/>
  <c r="AL262" i="1"/>
  <c r="AK262" i="1"/>
  <c r="AN262" i="1" s="1"/>
  <c r="AE262" i="1"/>
  <c r="AC262" i="1"/>
  <c r="AB262" i="1"/>
  <c r="AA262" i="1"/>
  <c r="Y262" i="1"/>
  <c r="X262" i="1"/>
  <c r="V262" i="1"/>
  <c r="T262" i="1"/>
  <c r="S262" i="1"/>
  <c r="R262" i="1"/>
  <c r="Q262" i="1"/>
  <c r="P262" i="1"/>
  <c r="O262" i="1"/>
  <c r="N262" i="1"/>
  <c r="M262" i="1"/>
  <c r="U262" i="1" s="1"/>
  <c r="L262" i="1"/>
  <c r="F262" i="1"/>
  <c r="G262" i="1" s="1"/>
  <c r="E262" i="1"/>
  <c r="C262" i="1"/>
  <c r="B262" i="1"/>
  <c r="A262" i="1"/>
  <c r="AP261" i="1"/>
  <c r="AO261" i="1"/>
  <c r="AR261" i="1" s="1"/>
  <c r="AL261" i="1"/>
  <c r="AK261" i="1"/>
  <c r="AN261" i="1" s="1"/>
  <c r="AE261" i="1"/>
  <c r="AC261" i="1"/>
  <c r="AB261" i="1"/>
  <c r="AA261" i="1"/>
  <c r="Y261" i="1"/>
  <c r="X261" i="1"/>
  <c r="V261" i="1"/>
  <c r="T261" i="1"/>
  <c r="S261" i="1"/>
  <c r="R261" i="1"/>
  <c r="Q261" i="1"/>
  <c r="P261" i="1"/>
  <c r="O261" i="1"/>
  <c r="N261" i="1"/>
  <c r="M261" i="1"/>
  <c r="U261" i="1" s="1"/>
  <c r="L261" i="1"/>
  <c r="F261" i="1"/>
  <c r="G261" i="1" s="1"/>
  <c r="E261" i="1"/>
  <c r="C261" i="1"/>
  <c r="B261" i="1"/>
  <c r="A261" i="1"/>
  <c r="AP260" i="1"/>
  <c r="AO260" i="1"/>
  <c r="AR260" i="1" s="1"/>
  <c r="AL260" i="1"/>
  <c r="AK260" i="1"/>
  <c r="AN260" i="1" s="1"/>
  <c r="AE260" i="1"/>
  <c r="AC260" i="1"/>
  <c r="AB260" i="1"/>
  <c r="AA260" i="1"/>
  <c r="Y260" i="1"/>
  <c r="X260" i="1"/>
  <c r="T260" i="1"/>
  <c r="S260" i="1"/>
  <c r="R260" i="1"/>
  <c r="Q260" i="1"/>
  <c r="P260" i="1"/>
  <c r="O260" i="1"/>
  <c r="N260" i="1"/>
  <c r="M260" i="1"/>
  <c r="U260" i="1" s="1"/>
  <c r="L260" i="1"/>
  <c r="F260" i="1"/>
  <c r="G260" i="1" s="1"/>
  <c r="E260" i="1"/>
  <c r="C260" i="1"/>
  <c r="B260" i="1"/>
  <c r="A260" i="1"/>
  <c r="AP259" i="1"/>
  <c r="AO259" i="1"/>
  <c r="AR259" i="1" s="1"/>
  <c r="AL259" i="1"/>
  <c r="AK259" i="1"/>
  <c r="AN259" i="1" s="1"/>
  <c r="AE259" i="1"/>
  <c r="AC259" i="1"/>
  <c r="AB259" i="1"/>
  <c r="AA259" i="1"/>
  <c r="Y259" i="1"/>
  <c r="X259" i="1"/>
  <c r="V259" i="1"/>
  <c r="T259" i="1"/>
  <c r="S259" i="1"/>
  <c r="R259" i="1"/>
  <c r="Q259" i="1"/>
  <c r="P259" i="1"/>
  <c r="O259" i="1"/>
  <c r="N259" i="1"/>
  <c r="M259" i="1"/>
  <c r="U259" i="1" s="1"/>
  <c r="L259" i="1"/>
  <c r="F259" i="1"/>
  <c r="G259" i="1" s="1"/>
  <c r="E259" i="1"/>
  <c r="C259" i="1"/>
  <c r="B259" i="1"/>
  <c r="A259" i="1"/>
  <c r="AQ258" i="1"/>
  <c r="AR258" i="1" s="1"/>
  <c r="AP258" i="1"/>
  <c r="AO258" i="1"/>
  <c r="AM258" i="1"/>
  <c r="AN258" i="1" s="1"/>
  <c r="AL258" i="1"/>
  <c r="AK258" i="1"/>
  <c r="AE258" i="1"/>
  <c r="AC258" i="1"/>
  <c r="AB258" i="1"/>
  <c r="AA258" i="1"/>
  <c r="Y258" i="1"/>
  <c r="X258" i="1"/>
  <c r="V258" i="1"/>
  <c r="T258" i="1"/>
  <c r="S258" i="1"/>
  <c r="R258" i="1"/>
  <c r="Q258" i="1"/>
  <c r="P258" i="1"/>
  <c r="O258" i="1"/>
  <c r="N258" i="1"/>
  <c r="M258" i="1"/>
  <c r="U258" i="1" s="1"/>
  <c r="L258" i="1"/>
  <c r="F258" i="1"/>
  <c r="G258" i="1" s="1"/>
  <c r="E258" i="1"/>
  <c r="C258" i="1"/>
  <c r="B258" i="1"/>
  <c r="A258" i="1"/>
  <c r="AQ257" i="1"/>
  <c r="AR257" i="1" s="1"/>
  <c r="AP257" i="1"/>
  <c r="AO257" i="1"/>
  <c r="AM257" i="1"/>
  <c r="AN257" i="1" s="1"/>
  <c r="AL257" i="1"/>
  <c r="AK257" i="1"/>
  <c r="AE257" i="1"/>
  <c r="AC257" i="1"/>
  <c r="AB257" i="1"/>
  <c r="AA257" i="1"/>
  <c r="Y257" i="1"/>
  <c r="X257" i="1"/>
  <c r="V257" i="1"/>
  <c r="T257" i="1"/>
  <c r="S257" i="1"/>
  <c r="R257" i="1"/>
  <c r="Q257" i="1"/>
  <c r="P257" i="1"/>
  <c r="O257" i="1"/>
  <c r="N257" i="1"/>
  <c r="M257" i="1"/>
  <c r="U257" i="1" s="1"/>
  <c r="L257" i="1"/>
  <c r="F257" i="1"/>
  <c r="G257" i="1" s="1"/>
  <c r="E257" i="1"/>
  <c r="C257" i="1"/>
  <c r="B257" i="1"/>
  <c r="A257" i="1"/>
  <c r="AP256" i="1"/>
  <c r="AO256" i="1"/>
  <c r="AR256" i="1" s="1"/>
  <c r="AL256" i="1"/>
  <c r="AK256" i="1"/>
  <c r="AN256" i="1" s="1"/>
  <c r="AE256" i="1"/>
  <c r="AC256" i="1"/>
  <c r="AB256" i="1"/>
  <c r="AA256" i="1"/>
  <c r="Y256" i="1"/>
  <c r="X256" i="1"/>
  <c r="V256" i="1"/>
  <c r="T256" i="1"/>
  <c r="S256" i="1"/>
  <c r="R256" i="1"/>
  <c r="Q256" i="1"/>
  <c r="P256" i="1"/>
  <c r="O256" i="1"/>
  <c r="N256" i="1"/>
  <c r="M256" i="1"/>
  <c r="U256" i="1" s="1"/>
  <c r="L256" i="1"/>
  <c r="F256" i="1"/>
  <c r="G256" i="1" s="1"/>
  <c r="E256" i="1"/>
  <c r="C256" i="1"/>
  <c r="B256" i="1"/>
  <c r="A256" i="1"/>
  <c r="AP255" i="1"/>
  <c r="AO255" i="1"/>
  <c r="AR255" i="1" s="1"/>
  <c r="AL255" i="1"/>
  <c r="AK255" i="1"/>
  <c r="AN255" i="1" s="1"/>
  <c r="AE255" i="1"/>
  <c r="AC255" i="1"/>
  <c r="AB255" i="1"/>
  <c r="AA255" i="1"/>
  <c r="Y255" i="1"/>
  <c r="X255" i="1"/>
  <c r="V255" i="1"/>
  <c r="T255" i="1"/>
  <c r="S255" i="1"/>
  <c r="R255" i="1"/>
  <c r="Q255" i="1"/>
  <c r="P255" i="1"/>
  <c r="O255" i="1"/>
  <c r="N255" i="1"/>
  <c r="M255" i="1"/>
  <c r="U255" i="1" s="1"/>
  <c r="L255" i="1"/>
  <c r="F255" i="1"/>
  <c r="G255" i="1" s="1"/>
  <c r="E255" i="1"/>
  <c r="C255" i="1"/>
  <c r="B255" i="1"/>
  <c r="A255" i="1"/>
  <c r="AP254" i="1"/>
  <c r="AO254" i="1"/>
  <c r="AR254" i="1" s="1"/>
  <c r="AL254" i="1"/>
  <c r="AK254" i="1"/>
  <c r="AN254" i="1" s="1"/>
  <c r="AE254" i="1"/>
  <c r="AC254" i="1"/>
  <c r="AB254" i="1"/>
  <c r="AA254" i="1"/>
  <c r="Y254" i="1"/>
  <c r="X254" i="1"/>
  <c r="V254" i="1"/>
  <c r="T254" i="1"/>
  <c r="S254" i="1"/>
  <c r="R254" i="1"/>
  <c r="Q254" i="1"/>
  <c r="P254" i="1"/>
  <c r="O254" i="1"/>
  <c r="N254" i="1"/>
  <c r="M254" i="1"/>
  <c r="U254" i="1" s="1"/>
  <c r="L254" i="1"/>
  <c r="F254" i="1"/>
  <c r="G254" i="1" s="1"/>
  <c r="E254" i="1"/>
  <c r="C254" i="1"/>
  <c r="B254" i="1"/>
  <c r="A254" i="1"/>
  <c r="AP253" i="1"/>
  <c r="AO253" i="1"/>
  <c r="AR253" i="1" s="1"/>
  <c r="AL253" i="1"/>
  <c r="AK253" i="1"/>
  <c r="AN253" i="1" s="1"/>
  <c r="AE253" i="1"/>
  <c r="AC253" i="1"/>
  <c r="AB253" i="1"/>
  <c r="AA253" i="1"/>
  <c r="Y253" i="1"/>
  <c r="X253" i="1"/>
  <c r="V253" i="1"/>
  <c r="T253" i="1"/>
  <c r="S253" i="1"/>
  <c r="R253" i="1"/>
  <c r="Q253" i="1"/>
  <c r="P253" i="1"/>
  <c r="O253" i="1"/>
  <c r="N253" i="1"/>
  <c r="M253" i="1"/>
  <c r="U253" i="1" s="1"/>
  <c r="L253" i="1"/>
  <c r="F253" i="1"/>
  <c r="G253" i="1" s="1"/>
  <c r="E253" i="1"/>
  <c r="C253" i="1"/>
  <c r="B253" i="1"/>
  <c r="A253" i="1"/>
  <c r="AP252" i="1"/>
  <c r="AO252" i="1"/>
  <c r="AL252" i="1"/>
  <c r="AK252" i="1"/>
  <c r="AE252" i="1"/>
  <c r="AC252" i="1"/>
  <c r="AB252" i="1"/>
  <c r="AA252" i="1"/>
  <c r="Y252" i="1"/>
  <c r="X252" i="1"/>
  <c r="V252" i="1"/>
  <c r="T252" i="1"/>
  <c r="S252" i="1"/>
  <c r="R252" i="1"/>
  <c r="Q252" i="1"/>
  <c r="P252" i="1"/>
  <c r="O252" i="1"/>
  <c r="N252" i="1"/>
  <c r="M252" i="1"/>
  <c r="U252" i="1" s="1"/>
  <c r="K252" i="1"/>
  <c r="L252" i="1" s="1"/>
  <c r="F252" i="1"/>
  <c r="G252" i="1" s="1"/>
  <c r="E252" i="1"/>
  <c r="C252" i="1"/>
  <c r="B252" i="1"/>
  <c r="A252" i="1"/>
  <c r="AP251" i="1"/>
  <c r="AO251" i="1"/>
  <c r="AR251" i="1" s="1"/>
  <c r="AL251" i="1"/>
  <c r="AK251" i="1"/>
  <c r="AN251" i="1" s="1"/>
  <c r="AE251" i="1"/>
  <c r="AC251" i="1"/>
  <c r="AB251" i="1"/>
  <c r="AA251" i="1"/>
  <c r="Y251" i="1"/>
  <c r="X251" i="1"/>
  <c r="V251" i="1"/>
  <c r="T251" i="1"/>
  <c r="S251" i="1"/>
  <c r="R251" i="1"/>
  <c r="Q251" i="1"/>
  <c r="P251" i="1"/>
  <c r="O251" i="1"/>
  <c r="N251" i="1"/>
  <c r="M251" i="1"/>
  <c r="U251" i="1" s="1"/>
  <c r="L251" i="1"/>
  <c r="F251" i="1"/>
  <c r="G251" i="1" s="1"/>
  <c r="E251" i="1"/>
  <c r="C251" i="1"/>
  <c r="B251" i="1"/>
  <c r="A251" i="1"/>
  <c r="AQ250" i="1"/>
  <c r="AR250" i="1" s="1"/>
  <c r="AP250" i="1"/>
  <c r="AO250" i="1"/>
  <c r="AM250" i="1"/>
  <c r="AN250" i="1" s="1"/>
  <c r="AL250" i="1"/>
  <c r="AK250" i="1"/>
  <c r="AE250" i="1"/>
  <c r="AC250" i="1"/>
  <c r="AB250" i="1"/>
  <c r="AA250" i="1"/>
  <c r="Y250" i="1"/>
  <c r="Z250" i="1" s="1"/>
  <c r="X250" i="1"/>
  <c r="V250" i="1"/>
  <c r="T250" i="1"/>
  <c r="S250" i="1"/>
  <c r="R250" i="1"/>
  <c r="Q250" i="1"/>
  <c r="P250" i="1"/>
  <c r="O250" i="1"/>
  <c r="N250" i="1"/>
  <c r="M250" i="1"/>
  <c r="U250" i="1" s="1"/>
  <c r="L250" i="1"/>
  <c r="F250" i="1"/>
  <c r="G250" i="1" s="1"/>
  <c r="E250" i="1"/>
  <c r="C250" i="1"/>
  <c r="B250" i="1"/>
  <c r="A250" i="1"/>
  <c r="AP249" i="1"/>
  <c r="AO249" i="1"/>
  <c r="AL249" i="1"/>
  <c r="AK249" i="1"/>
  <c r="AE249" i="1"/>
  <c r="AC249" i="1"/>
  <c r="AB249" i="1"/>
  <c r="AA249" i="1"/>
  <c r="Y249" i="1"/>
  <c r="X249" i="1"/>
  <c r="V249" i="1"/>
  <c r="T249" i="1"/>
  <c r="S249" i="1"/>
  <c r="R249" i="1"/>
  <c r="Q249" i="1"/>
  <c r="P249" i="1"/>
  <c r="O249" i="1"/>
  <c r="N249" i="1"/>
  <c r="M249" i="1"/>
  <c r="U249" i="1" s="1"/>
  <c r="K249" i="1"/>
  <c r="L249" i="1" s="1"/>
  <c r="F249" i="1"/>
  <c r="G249" i="1" s="1"/>
  <c r="E249" i="1"/>
  <c r="C249" i="1"/>
  <c r="B249" i="1"/>
  <c r="A249" i="1"/>
  <c r="AP248" i="1"/>
  <c r="AO248" i="1"/>
  <c r="AR248" i="1" s="1"/>
  <c r="AL248" i="1"/>
  <c r="AK248" i="1"/>
  <c r="AN248" i="1" s="1"/>
  <c r="AE248" i="1"/>
  <c r="AC248" i="1"/>
  <c r="AB248" i="1"/>
  <c r="AA248" i="1"/>
  <c r="Y248" i="1"/>
  <c r="X248" i="1"/>
  <c r="V248" i="1"/>
  <c r="T248" i="1"/>
  <c r="S248" i="1"/>
  <c r="R248" i="1"/>
  <c r="Q248" i="1"/>
  <c r="P248" i="1"/>
  <c r="O248" i="1"/>
  <c r="N248" i="1"/>
  <c r="M248" i="1"/>
  <c r="U248" i="1" s="1"/>
  <c r="L248" i="1"/>
  <c r="F248" i="1"/>
  <c r="G248" i="1" s="1"/>
  <c r="E248" i="1"/>
  <c r="C248" i="1"/>
  <c r="B248" i="1"/>
  <c r="A248" i="1"/>
  <c r="AP247" i="1"/>
  <c r="AO247" i="1"/>
  <c r="AR247" i="1" s="1"/>
  <c r="AL247" i="1"/>
  <c r="AK247" i="1"/>
  <c r="AN247" i="1" s="1"/>
  <c r="AE247" i="1"/>
  <c r="AC247" i="1"/>
  <c r="AB247" i="1"/>
  <c r="AA247" i="1"/>
  <c r="Y247" i="1"/>
  <c r="X247" i="1"/>
  <c r="V247" i="1"/>
  <c r="T247" i="1"/>
  <c r="S247" i="1"/>
  <c r="R247" i="1"/>
  <c r="Q247" i="1"/>
  <c r="P247" i="1"/>
  <c r="O247" i="1"/>
  <c r="N247" i="1"/>
  <c r="M247" i="1"/>
  <c r="U247" i="1" s="1"/>
  <c r="L247" i="1"/>
  <c r="F247" i="1"/>
  <c r="G247" i="1" s="1"/>
  <c r="E247" i="1"/>
  <c r="C247" i="1"/>
  <c r="B247" i="1"/>
  <c r="A247" i="1"/>
  <c r="AQ246" i="1"/>
  <c r="AR246" i="1" s="1"/>
  <c r="AP246" i="1"/>
  <c r="AO246" i="1"/>
  <c r="AM246" i="1"/>
  <c r="AN246" i="1" s="1"/>
  <c r="AL246" i="1"/>
  <c r="AK246" i="1"/>
  <c r="AE246" i="1"/>
  <c r="AC246" i="1"/>
  <c r="AB246" i="1"/>
  <c r="AA246" i="1"/>
  <c r="Y246" i="1"/>
  <c r="X246" i="1"/>
  <c r="V246" i="1"/>
  <c r="T246" i="1"/>
  <c r="S246" i="1"/>
  <c r="R246" i="1"/>
  <c r="Q246" i="1"/>
  <c r="P246" i="1"/>
  <c r="O246" i="1"/>
  <c r="N246" i="1"/>
  <c r="M246" i="1"/>
  <c r="U246" i="1" s="1"/>
  <c r="L246" i="1"/>
  <c r="F246" i="1"/>
  <c r="G246" i="1" s="1"/>
  <c r="E246" i="1"/>
  <c r="C246" i="1"/>
  <c r="B246" i="1"/>
  <c r="A246" i="1"/>
  <c r="AP245" i="1"/>
  <c r="AO245" i="1"/>
  <c r="AR245" i="1" s="1"/>
  <c r="AL245" i="1"/>
  <c r="AK245" i="1"/>
  <c r="AN245" i="1" s="1"/>
  <c r="AE245" i="1"/>
  <c r="AC245" i="1"/>
  <c r="AB245" i="1"/>
  <c r="AA245" i="1"/>
  <c r="Y245" i="1"/>
  <c r="X245" i="1"/>
  <c r="V245" i="1"/>
  <c r="T245" i="1"/>
  <c r="S245" i="1"/>
  <c r="R245" i="1"/>
  <c r="Q245" i="1"/>
  <c r="P245" i="1"/>
  <c r="O245" i="1"/>
  <c r="N245" i="1"/>
  <c r="M245" i="1"/>
  <c r="U245" i="1" s="1"/>
  <c r="L245" i="1"/>
  <c r="F245" i="1"/>
  <c r="G245" i="1" s="1"/>
  <c r="E245" i="1"/>
  <c r="C245" i="1"/>
  <c r="B245" i="1"/>
  <c r="A245" i="1"/>
  <c r="AP244" i="1"/>
  <c r="AO244" i="1"/>
  <c r="AR244" i="1" s="1"/>
  <c r="AL244" i="1"/>
  <c r="AK244" i="1"/>
  <c r="AN244" i="1" s="1"/>
  <c r="AE244" i="1"/>
  <c r="AC244" i="1"/>
  <c r="AB244" i="1"/>
  <c r="AA244" i="1"/>
  <c r="Y244" i="1"/>
  <c r="X244" i="1"/>
  <c r="V244" i="1"/>
  <c r="T244" i="1"/>
  <c r="S244" i="1"/>
  <c r="R244" i="1"/>
  <c r="Q244" i="1"/>
  <c r="P244" i="1"/>
  <c r="O244" i="1"/>
  <c r="N244" i="1"/>
  <c r="M244" i="1"/>
  <c r="U244" i="1" s="1"/>
  <c r="L244" i="1"/>
  <c r="F244" i="1"/>
  <c r="G244" i="1" s="1"/>
  <c r="E244" i="1"/>
  <c r="C244" i="1"/>
  <c r="B244" i="1"/>
  <c r="A244" i="1"/>
  <c r="AQ243" i="1"/>
  <c r="AR243" i="1" s="1"/>
  <c r="AP243" i="1"/>
  <c r="AO243" i="1"/>
  <c r="AM243" i="1"/>
  <c r="AN243" i="1" s="1"/>
  <c r="AL243" i="1"/>
  <c r="AK243" i="1"/>
  <c r="AE243" i="1"/>
  <c r="AC243" i="1"/>
  <c r="AB243" i="1"/>
  <c r="AA243" i="1"/>
  <c r="Y243" i="1"/>
  <c r="X243" i="1"/>
  <c r="V243" i="1"/>
  <c r="T243" i="1"/>
  <c r="S243" i="1"/>
  <c r="R243" i="1"/>
  <c r="Q243" i="1"/>
  <c r="P243" i="1"/>
  <c r="O243" i="1"/>
  <c r="N243" i="1"/>
  <c r="M243" i="1"/>
  <c r="U243" i="1" s="1"/>
  <c r="L243" i="1"/>
  <c r="F243" i="1"/>
  <c r="G243" i="1" s="1"/>
  <c r="E243" i="1"/>
  <c r="C243" i="1"/>
  <c r="B243" i="1"/>
  <c r="A243" i="1"/>
  <c r="AQ242" i="1"/>
  <c r="AR242" i="1" s="1"/>
  <c r="AP242" i="1"/>
  <c r="AO242" i="1"/>
  <c r="AM242" i="1"/>
  <c r="AN242" i="1" s="1"/>
  <c r="AL242" i="1"/>
  <c r="AK242" i="1"/>
  <c r="AE242" i="1"/>
  <c r="AC242" i="1"/>
  <c r="AB242" i="1"/>
  <c r="AA242" i="1"/>
  <c r="Y242" i="1"/>
  <c r="X242" i="1"/>
  <c r="V242" i="1"/>
  <c r="T242" i="1"/>
  <c r="S242" i="1"/>
  <c r="R242" i="1"/>
  <c r="Q242" i="1"/>
  <c r="P242" i="1"/>
  <c r="O242" i="1"/>
  <c r="N242" i="1"/>
  <c r="M242" i="1"/>
  <c r="U242" i="1" s="1"/>
  <c r="L242" i="1"/>
  <c r="F242" i="1"/>
  <c r="G242" i="1" s="1"/>
  <c r="E242" i="1"/>
  <c r="C242" i="1"/>
  <c r="B242" i="1"/>
  <c r="A242" i="1"/>
  <c r="AQ241" i="1"/>
  <c r="AR241" i="1" s="1"/>
  <c r="AP241" i="1"/>
  <c r="AO241" i="1"/>
  <c r="AM241" i="1"/>
  <c r="AN241" i="1" s="1"/>
  <c r="AL241" i="1"/>
  <c r="AK241" i="1"/>
  <c r="AE241" i="1"/>
  <c r="AC241" i="1"/>
  <c r="AB241" i="1"/>
  <c r="AA241" i="1"/>
  <c r="Y241" i="1"/>
  <c r="X241" i="1"/>
  <c r="V241" i="1"/>
  <c r="T241" i="1"/>
  <c r="S241" i="1"/>
  <c r="R241" i="1"/>
  <c r="Q241" i="1"/>
  <c r="P241" i="1"/>
  <c r="O241" i="1"/>
  <c r="N241" i="1"/>
  <c r="M241" i="1"/>
  <c r="U241" i="1" s="1"/>
  <c r="L241" i="1"/>
  <c r="F241" i="1"/>
  <c r="G241" i="1" s="1"/>
  <c r="E241" i="1"/>
  <c r="C241" i="1"/>
  <c r="B241" i="1"/>
  <c r="A241" i="1"/>
  <c r="AP240" i="1"/>
  <c r="AO240" i="1"/>
  <c r="AR240" i="1" s="1"/>
  <c r="AL240" i="1"/>
  <c r="AK240" i="1"/>
  <c r="AN240" i="1" s="1"/>
  <c r="AE240" i="1"/>
  <c r="AC240" i="1"/>
  <c r="AB240" i="1"/>
  <c r="AA240" i="1"/>
  <c r="Y240" i="1"/>
  <c r="X240" i="1"/>
  <c r="V240" i="1"/>
  <c r="T240" i="1"/>
  <c r="S240" i="1"/>
  <c r="R240" i="1"/>
  <c r="Q240" i="1"/>
  <c r="P240" i="1"/>
  <c r="O240" i="1"/>
  <c r="N240" i="1"/>
  <c r="M240" i="1"/>
  <c r="K240" i="1"/>
  <c r="L240" i="1" s="1"/>
  <c r="F240" i="1"/>
  <c r="G240" i="1" s="1"/>
  <c r="E240" i="1"/>
  <c r="C240" i="1"/>
  <c r="B240" i="1"/>
  <c r="A240" i="1"/>
  <c r="AP239" i="1"/>
  <c r="AO239" i="1"/>
  <c r="AR239" i="1" s="1"/>
  <c r="AL239" i="1"/>
  <c r="AK239" i="1"/>
  <c r="AN239" i="1" s="1"/>
  <c r="AE239" i="1"/>
  <c r="AC239" i="1"/>
  <c r="AB239" i="1"/>
  <c r="AA239" i="1"/>
  <c r="Y239" i="1"/>
  <c r="X239" i="1"/>
  <c r="V239" i="1"/>
  <c r="T239" i="1"/>
  <c r="S239" i="1"/>
  <c r="R239" i="1"/>
  <c r="Q239" i="1"/>
  <c r="P239" i="1"/>
  <c r="O239" i="1"/>
  <c r="N239" i="1"/>
  <c r="M239" i="1"/>
  <c r="U239" i="1" s="1"/>
  <c r="L239" i="1"/>
  <c r="F239" i="1"/>
  <c r="G239" i="1" s="1"/>
  <c r="E239" i="1"/>
  <c r="C239" i="1"/>
  <c r="B239" i="1"/>
  <c r="A239" i="1"/>
  <c r="AP238" i="1"/>
  <c r="AO238" i="1"/>
  <c r="AR238" i="1" s="1"/>
  <c r="AL238" i="1"/>
  <c r="AK238" i="1"/>
  <c r="AN238" i="1" s="1"/>
  <c r="AE238" i="1"/>
  <c r="AC238" i="1"/>
  <c r="AB238" i="1"/>
  <c r="AA238" i="1"/>
  <c r="Y238" i="1"/>
  <c r="X238" i="1"/>
  <c r="V238" i="1"/>
  <c r="T238" i="1"/>
  <c r="S238" i="1"/>
  <c r="R238" i="1"/>
  <c r="Q238" i="1"/>
  <c r="P238" i="1"/>
  <c r="O238" i="1"/>
  <c r="N238" i="1"/>
  <c r="M238" i="1"/>
  <c r="U238" i="1" s="1"/>
  <c r="L238" i="1"/>
  <c r="F238" i="1"/>
  <c r="G238" i="1" s="1"/>
  <c r="E238" i="1"/>
  <c r="C238" i="1"/>
  <c r="B238" i="1"/>
  <c r="A238" i="1"/>
  <c r="AQ237" i="1"/>
  <c r="AR237" i="1" s="1"/>
  <c r="AP237" i="1"/>
  <c r="AO237" i="1"/>
  <c r="AM237" i="1"/>
  <c r="AN237" i="1" s="1"/>
  <c r="AL237" i="1"/>
  <c r="AK237" i="1"/>
  <c r="AE237" i="1"/>
  <c r="AC237" i="1"/>
  <c r="AB237" i="1"/>
  <c r="AA237" i="1"/>
  <c r="Y237" i="1"/>
  <c r="X237" i="1"/>
  <c r="V237" i="1"/>
  <c r="T237" i="1"/>
  <c r="S237" i="1"/>
  <c r="R237" i="1"/>
  <c r="Q237" i="1"/>
  <c r="P237" i="1"/>
  <c r="O237" i="1"/>
  <c r="N237" i="1"/>
  <c r="M237" i="1"/>
  <c r="U237" i="1" s="1"/>
  <c r="L237" i="1"/>
  <c r="F237" i="1"/>
  <c r="G237" i="1" s="1"/>
  <c r="E237" i="1"/>
  <c r="C237" i="1"/>
  <c r="B237" i="1"/>
  <c r="A237" i="1"/>
  <c r="AP236" i="1"/>
  <c r="AO236" i="1"/>
  <c r="AL236" i="1"/>
  <c r="AK236" i="1"/>
  <c r="AE236" i="1"/>
  <c r="AC236" i="1"/>
  <c r="AB236" i="1"/>
  <c r="AA236" i="1"/>
  <c r="Y236" i="1"/>
  <c r="X236" i="1"/>
  <c r="V236" i="1"/>
  <c r="T236" i="1"/>
  <c r="S236" i="1"/>
  <c r="R236" i="1"/>
  <c r="Q236" i="1"/>
  <c r="P236" i="1"/>
  <c r="O236" i="1"/>
  <c r="N236" i="1"/>
  <c r="M236" i="1"/>
  <c r="U236" i="1" s="1"/>
  <c r="K236" i="1"/>
  <c r="L236" i="1" s="1"/>
  <c r="F236" i="1"/>
  <c r="G236" i="1" s="1"/>
  <c r="E236" i="1"/>
  <c r="C236" i="1"/>
  <c r="B236" i="1"/>
  <c r="A236" i="1"/>
  <c r="AP235" i="1"/>
  <c r="AO235" i="1"/>
  <c r="AR235" i="1" s="1"/>
  <c r="AL235" i="1"/>
  <c r="AK235" i="1"/>
  <c r="AN235" i="1" s="1"/>
  <c r="AE235" i="1"/>
  <c r="AC235" i="1"/>
  <c r="AB235" i="1"/>
  <c r="AA235" i="1"/>
  <c r="Y235" i="1"/>
  <c r="X235" i="1"/>
  <c r="V235" i="1"/>
  <c r="T235" i="1"/>
  <c r="S235" i="1"/>
  <c r="R235" i="1"/>
  <c r="Q235" i="1"/>
  <c r="P235" i="1"/>
  <c r="O235" i="1"/>
  <c r="N235" i="1"/>
  <c r="M235" i="1"/>
  <c r="U235" i="1" s="1"/>
  <c r="L235" i="1"/>
  <c r="F235" i="1"/>
  <c r="G235" i="1" s="1"/>
  <c r="E235" i="1"/>
  <c r="C235" i="1"/>
  <c r="B235" i="1"/>
  <c r="A235" i="1"/>
  <c r="AP234" i="1"/>
  <c r="AO234" i="1"/>
  <c r="AR234" i="1" s="1"/>
  <c r="AL234" i="1"/>
  <c r="AK234" i="1"/>
  <c r="AN234" i="1" s="1"/>
  <c r="AE234" i="1"/>
  <c r="AC234" i="1"/>
  <c r="AB234" i="1"/>
  <c r="AA234" i="1"/>
  <c r="Y234" i="1"/>
  <c r="X234" i="1"/>
  <c r="V234" i="1"/>
  <c r="T234" i="1"/>
  <c r="S234" i="1"/>
  <c r="R234" i="1"/>
  <c r="Q234" i="1"/>
  <c r="P234" i="1"/>
  <c r="O234" i="1"/>
  <c r="N234" i="1"/>
  <c r="M234" i="1"/>
  <c r="U234" i="1" s="1"/>
  <c r="L234" i="1"/>
  <c r="F234" i="1"/>
  <c r="G234" i="1" s="1"/>
  <c r="E234" i="1"/>
  <c r="C234" i="1"/>
  <c r="B234" i="1"/>
  <c r="A234" i="1"/>
  <c r="AP233" i="1"/>
  <c r="AO233" i="1"/>
  <c r="AR233" i="1" s="1"/>
  <c r="AL233" i="1"/>
  <c r="AK233" i="1"/>
  <c r="AN233" i="1" s="1"/>
  <c r="AE233" i="1"/>
  <c r="AC233" i="1"/>
  <c r="AB233" i="1"/>
  <c r="AA233" i="1"/>
  <c r="Y233" i="1"/>
  <c r="X233" i="1"/>
  <c r="T233" i="1"/>
  <c r="S233" i="1"/>
  <c r="R233" i="1"/>
  <c r="Q233" i="1"/>
  <c r="P233" i="1"/>
  <c r="O233" i="1"/>
  <c r="N233" i="1"/>
  <c r="M233" i="1"/>
  <c r="U233" i="1" s="1"/>
  <c r="L233" i="1"/>
  <c r="F233" i="1"/>
  <c r="G233" i="1" s="1"/>
  <c r="E233" i="1"/>
  <c r="C233" i="1"/>
  <c r="B233" i="1"/>
  <c r="A233" i="1"/>
  <c r="AP232" i="1"/>
  <c r="AO232" i="1"/>
  <c r="AR232" i="1" s="1"/>
  <c r="AL232" i="1"/>
  <c r="AK232" i="1"/>
  <c r="AN232" i="1" s="1"/>
  <c r="AE232" i="1"/>
  <c r="AC232" i="1"/>
  <c r="AB232" i="1"/>
  <c r="AA232" i="1"/>
  <c r="Y232" i="1"/>
  <c r="X232" i="1"/>
  <c r="T232" i="1"/>
  <c r="S232" i="1"/>
  <c r="R232" i="1"/>
  <c r="Q232" i="1"/>
  <c r="P232" i="1"/>
  <c r="O232" i="1"/>
  <c r="N232" i="1"/>
  <c r="M232" i="1"/>
  <c r="U232" i="1" s="1"/>
  <c r="L232" i="1"/>
  <c r="F232" i="1"/>
  <c r="G232" i="1" s="1"/>
  <c r="E232" i="1"/>
  <c r="C232" i="1"/>
  <c r="B232" i="1"/>
  <c r="A232" i="1"/>
  <c r="AQ231" i="1"/>
  <c r="AR231" i="1" s="1"/>
  <c r="AP231" i="1"/>
  <c r="AO231" i="1"/>
  <c r="AM231" i="1"/>
  <c r="AN231" i="1" s="1"/>
  <c r="AL231" i="1"/>
  <c r="AK231" i="1"/>
  <c r="AE231" i="1"/>
  <c r="AC231" i="1"/>
  <c r="AB231" i="1"/>
  <c r="AA231" i="1"/>
  <c r="Y231" i="1"/>
  <c r="X231" i="1"/>
  <c r="T231" i="1"/>
  <c r="S231" i="1"/>
  <c r="R231" i="1"/>
  <c r="Q231" i="1"/>
  <c r="P231" i="1"/>
  <c r="O231" i="1"/>
  <c r="N231" i="1"/>
  <c r="M231" i="1"/>
  <c r="U231" i="1" s="1"/>
  <c r="L231" i="1"/>
  <c r="F231" i="1"/>
  <c r="G231" i="1" s="1"/>
  <c r="E231" i="1"/>
  <c r="C231" i="1"/>
  <c r="B231" i="1"/>
  <c r="A231" i="1"/>
  <c r="AQ230" i="1"/>
  <c r="AR230" i="1" s="1"/>
  <c r="AP230" i="1"/>
  <c r="AO230" i="1"/>
  <c r="AM230" i="1"/>
  <c r="AN230" i="1" s="1"/>
  <c r="AL230" i="1"/>
  <c r="AK230" i="1"/>
  <c r="AE230" i="1"/>
  <c r="AC230" i="1"/>
  <c r="AB230" i="1"/>
  <c r="AA230" i="1"/>
  <c r="Y230" i="1"/>
  <c r="X230" i="1"/>
  <c r="T230" i="1"/>
  <c r="S230" i="1"/>
  <c r="R230" i="1"/>
  <c r="Q230" i="1"/>
  <c r="P230" i="1"/>
  <c r="O230" i="1"/>
  <c r="N230" i="1"/>
  <c r="M230" i="1"/>
  <c r="U230" i="1" s="1"/>
  <c r="L230" i="1"/>
  <c r="F230" i="1"/>
  <c r="G230" i="1" s="1"/>
  <c r="E230" i="1"/>
  <c r="C230" i="1"/>
  <c r="B230" i="1"/>
  <c r="A230" i="1"/>
  <c r="AQ229" i="1"/>
  <c r="AR229" i="1" s="1"/>
  <c r="AP229" i="1"/>
  <c r="AO229" i="1"/>
  <c r="AM229" i="1"/>
  <c r="AN229" i="1" s="1"/>
  <c r="AL229" i="1"/>
  <c r="AK229" i="1"/>
  <c r="AE229" i="1"/>
  <c r="AC229" i="1"/>
  <c r="AB229" i="1"/>
  <c r="AA229" i="1"/>
  <c r="Y229" i="1"/>
  <c r="X229" i="1"/>
  <c r="V229" i="1"/>
  <c r="T229" i="1"/>
  <c r="S229" i="1"/>
  <c r="R229" i="1"/>
  <c r="Q229" i="1"/>
  <c r="P229" i="1"/>
  <c r="O229" i="1"/>
  <c r="N229" i="1"/>
  <c r="M229" i="1"/>
  <c r="U229" i="1" s="1"/>
  <c r="L229" i="1"/>
  <c r="F229" i="1"/>
  <c r="G229" i="1" s="1"/>
  <c r="E229" i="1"/>
  <c r="C229" i="1"/>
  <c r="B229" i="1"/>
  <c r="A229" i="1"/>
  <c r="AP228" i="1"/>
  <c r="AO228" i="1"/>
  <c r="AR228" i="1" s="1"/>
  <c r="AL228" i="1"/>
  <c r="AK228" i="1"/>
  <c r="AN228" i="1" s="1"/>
  <c r="AE228" i="1"/>
  <c r="AC228" i="1"/>
  <c r="AB228" i="1"/>
  <c r="AA228" i="1"/>
  <c r="Y228" i="1"/>
  <c r="X228" i="1"/>
  <c r="V228" i="1"/>
  <c r="T228" i="1"/>
  <c r="S228" i="1"/>
  <c r="R228" i="1"/>
  <c r="Q228" i="1"/>
  <c r="P228" i="1"/>
  <c r="O228" i="1"/>
  <c r="N228" i="1"/>
  <c r="M228" i="1"/>
  <c r="U228" i="1" s="1"/>
  <c r="L228" i="1"/>
  <c r="F228" i="1"/>
  <c r="G228" i="1" s="1"/>
  <c r="E228" i="1"/>
  <c r="C228" i="1"/>
  <c r="B228" i="1"/>
  <c r="A228" i="1"/>
  <c r="AP227" i="1"/>
  <c r="AO227" i="1"/>
  <c r="AR227" i="1" s="1"/>
  <c r="AL227" i="1"/>
  <c r="AK227" i="1"/>
  <c r="AN227" i="1" s="1"/>
  <c r="AE227" i="1"/>
  <c r="AC227" i="1"/>
  <c r="AB227" i="1"/>
  <c r="AA227" i="1"/>
  <c r="Y227" i="1"/>
  <c r="X227" i="1"/>
  <c r="T227" i="1"/>
  <c r="S227" i="1"/>
  <c r="R227" i="1"/>
  <c r="Q227" i="1"/>
  <c r="P227" i="1"/>
  <c r="O227" i="1"/>
  <c r="N227" i="1"/>
  <c r="M227" i="1"/>
  <c r="U227" i="1" s="1"/>
  <c r="L227" i="1"/>
  <c r="F227" i="1"/>
  <c r="G227" i="1" s="1"/>
  <c r="E227" i="1"/>
  <c r="C227" i="1"/>
  <c r="B227" i="1"/>
  <c r="A227" i="1"/>
  <c r="AQ226" i="1"/>
  <c r="AR226" i="1" s="1"/>
  <c r="AP226" i="1"/>
  <c r="AO226" i="1"/>
  <c r="AM226" i="1"/>
  <c r="AN226" i="1" s="1"/>
  <c r="AL226" i="1"/>
  <c r="AK226" i="1"/>
  <c r="AE226" i="1"/>
  <c r="AC226" i="1"/>
  <c r="AB226" i="1"/>
  <c r="AA226" i="1"/>
  <c r="Y226" i="1"/>
  <c r="X226" i="1"/>
  <c r="T226" i="1"/>
  <c r="S226" i="1"/>
  <c r="R226" i="1"/>
  <c r="Q226" i="1"/>
  <c r="P226" i="1"/>
  <c r="O226" i="1"/>
  <c r="N226" i="1"/>
  <c r="M226" i="1"/>
  <c r="U226" i="1" s="1"/>
  <c r="L226" i="1"/>
  <c r="F226" i="1"/>
  <c r="G226" i="1" s="1"/>
  <c r="E226" i="1"/>
  <c r="C226" i="1"/>
  <c r="B226" i="1"/>
  <c r="A226" i="1"/>
  <c r="AQ225" i="1"/>
  <c r="AR225" i="1" s="1"/>
  <c r="AP225" i="1"/>
  <c r="AO225" i="1"/>
  <c r="AM225" i="1"/>
  <c r="AN225" i="1" s="1"/>
  <c r="AL225" i="1"/>
  <c r="AK225" i="1"/>
  <c r="AE225" i="1"/>
  <c r="AC225" i="1"/>
  <c r="AB225" i="1"/>
  <c r="AA225" i="1"/>
  <c r="Y225" i="1"/>
  <c r="X225" i="1"/>
  <c r="T225" i="1"/>
  <c r="S225" i="1"/>
  <c r="R225" i="1"/>
  <c r="Q225" i="1"/>
  <c r="P225" i="1"/>
  <c r="O225" i="1"/>
  <c r="N225" i="1"/>
  <c r="M225" i="1"/>
  <c r="U225" i="1" s="1"/>
  <c r="L225" i="1"/>
  <c r="F225" i="1"/>
  <c r="G225" i="1" s="1"/>
  <c r="E225" i="1"/>
  <c r="C225" i="1"/>
  <c r="B225" i="1"/>
  <c r="A225" i="1"/>
  <c r="AP224" i="1"/>
  <c r="AO224" i="1"/>
  <c r="AR224" i="1" s="1"/>
  <c r="AL224" i="1"/>
  <c r="AK224" i="1"/>
  <c r="AN224" i="1" s="1"/>
  <c r="AE224" i="1"/>
  <c r="AC224" i="1"/>
  <c r="AB224" i="1"/>
  <c r="AA224" i="1"/>
  <c r="Y224" i="1"/>
  <c r="X224" i="1"/>
  <c r="T224" i="1"/>
  <c r="S224" i="1"/>
  <c r="R224" i="1"/>
  <c r="Q224" i="1"/>
  <c r="P224" i="1"/>
  <c r="O224" i="1"/>
  <c r="N224" i="1"/>
  <c r="M224" i="1"/>
  <c r="U224" i="1" s="1"/>
  <c r="L224" i="1"/>
  <c r="F224" i="1"/>
  <c r="G224" i="1" s="1"/>
  <c r="E224" i="1"/>
  <c r="C224" i="1"/>
  <c r="B224" i="1"/>
  <c r="A224" i="1"/>
  <c r="AQ223" i="1"/>
  <c r="AR223" i="1" s="1"/>
  <c r="AP223" i="1"/>
  <c r="AO223" i="1"/>
  <c r="AM223" i="1"/>
  <c r="AN223" i="1" s="1"/>
  <c r="AL223" i="1"/>
  <c r="AK223" i="1"/>
  <c r="AE223" i="1"/>
  <c r="AC223" i="1"/>
  <c r="AB223" i="1"/>
  <c r="AA223" i="1"/>
  <c r="Y223" i="1"/>
  <c r="X223" i="1"/>
  <c r="T223" i="1"/>
  <c r="S223" i="1"/>
  <c r="R223" i="1"/>
  <c r="Q223" i="1"/>
  <c r="P223" i="1"/>
  <c r="O223" i="1"/>
  <c r="N223" i="1"/>
  <c r="M223" i="1"/>
  <c r="U223" i="1" s="1"/>
  <c r="L223" i="1"/>
  <c r="F223" i="1"/>
  <c r="G223" i="1" s="1"/>
  <c r="E223" i="1"/>
  <c r="C223" i="1"/>
  <c r="B223" i="1"/>
  <c r="A223" i="1"/>
  <c r="AQ222" i="1"/>
  <c r="AR222" i="1" s="1"/>
  <c r="AP222" i="1"/>
  <c r="AO222" i="1"/>
  <c r="AM222" i="1"/>
  <c r="AN222" i="1" s="1"/>
  <c r="AL222" i="1"/>
  <c r="AK222" i="1"/>
  <c r="AE222" i="1"/>
  <c r="AC222" i="1"/>
  <c r="AB222" i="1"/>
  <c r="AA222" i="1"/>
  <c r="Y222" i="1"/>
  <c r="X222" i="1"/>
  <c r="T222" i="1"/>
  <c r="S222" i="1"/>
  <c r="R222" i="1"/>
  <c r="Q222" i="1"/>
  <c r="P222" i="1"/>
  <c r="O222" i="1"/>
  <c r="N222" i="1"/>
  <c r="M222" i="1"/>
  <c r="U222" i="1" s="1"/>
  <c r="L222" i="1"/>
  <c r="F222" i="1"/>
  <c r="G222" i="1" s="1"/>
  <c r="E222" i="1"/>
  <c r="C222" i="1"/>
  <c r="B222" i="1"/>
  <c r="A222" i="1"/>
  <c r="AP221" i="1"/>
  <c r="AO221" i="1"/>
  <c r="AR221" i="1" s="1"/>
  <c r="AL221" i="1"/>
  <c r="AK221" i="1"/>
  <c r="AN221" i="1" s="1"/>
  <c r="AE221" i="1"/>
  <c r="AC221" i="1"/>
  <c r="AB221" i="1"/>
  <c r="AA221" i="1"/>
  <c r="Y221" i="1"/>
  <c r="X221" i="1"/>
  <c r="T221" i="1"/>
  <c r="S221" i="1"/>
  <c r="R221" i="1"/>
  <c r="Q221" i="1"/>
  <c r="P221" i="1"/>
  <c r="O221" i="1"/>
  <c r="N221" i="1"/>
  <c r="M221" i="1"/>
  <c r="U221" i="1" s="1"/>
  <c r="L221" i="1"/>
  <c r="F221" i="1"/>
  <c r="G221" i="1" s="1"/>
  <c r="E221" i="1"/>
  <c r="C221" i="1"/>
  <c r="B221" i="1"/>
  <c r="A221" i="1"/>
  <c r="AQ220" i="1"/>
  <c r="AR220" i="1" s="1"/>
  <c r="AP220" i="1"/>
  <c r="AO220" i="1"/>
  <c r="AM220" i="1"/>
  <c r="AN220" i="1" s="1"/>
  <c r="AL220" i="1"/>
  <c r="AK220" i="1"/>
  <c r="AE220" i="1"/>
  <c r="AC220" i="1"/>
  <c r="AB220" i="1"/>
  <c r="AA220" i="1"/>
  <c r="Y220" i="1"/>
  <c r="X220" i="1"/>
  <c r="T220" i="1"/>
  <c r="S220" i="1"/>
  <c r="R220" i="1"/>
  <c r="Q220" i="1"/>
  <c r="P220" i="1"/>
  <c r="O220" i="1"/>
  <c r="N220" i="1"/>
  <c r="M220" i="1"/>
  <c r="U220" i="1" s="1"/>
  <c r="L220" i="1"/>
  <c r="F220" i="1"/>
  <c r="G220" i="1" s="1"/>
  <c r="E220" i="1"/>
  <c r="C220" i="1"/>
  <c r="B220" i="1"/>
  <c r="A220" i="1"/>
  <c r="AP219" i="1"/>
  <c r="AO219" i="1"/>
  <c r="AR219" i="1" s="1"/>
  <c r="AL219" i="1"/>
  <c r="AK219" i="1"/>
  <c r="AN219" i="1" s="1"/>
  <c r="AE219" i="1"/>
  <c r="AC219" i="1"/>
  <c r="AB219" i="1"/>
  <c r="AA219" i="1"/>
  <c r="Y219" i="1"/>
  <c r="X219" i="1"/>
  <c r="T219" i="1"/>
  <c r="S219" i="1"/>
  <c r="R219" i="1"/>
  <c r="Q219" i="1"/>
  <c r="P219" i="1"/>
  <c r="O219" i="1"/>
  <c r="N219" i="1"/>
  <c r="M219" i="1"/>
  <c r="U219" i="1" s="1"/>
  <c r="L219" i="1"/>
  <c r="F219" i="1"/>
  <c r="G219" i="1" s="1"/>
  <c r="E219" i="1"/>
  <c r="C219" i="1"/>
  <c r="B219" i="1"/>
  <c r="A219" i="1"/>
  <c r="AQ218" i="1"/>
  <c r="AR218" i="1" s="1"/>
  <c r="AP218" i="1"/>
  <c r="AO218" i="1"/>
  <c r="AM218" i="1"/>
  <c r="AN218" i="1" s="1"/>
  <c r="AL218" i="1"/>
  <c r="AK218" i="1"/>
  <c r="AE218" i="1"/>
  <c r="AC218" i="1"/>
  <c r="AB218" i="1"/>
  <c r="AA218" i="1"/>
  <c r="Y218" i="1"/>
  <c r="X218" i="1"/>
  <c r="T218" i="1"/>
  <c r="S218" i="1"/>
  <c r="R218" i="1"/>
  <c r="Q218" i="1"/>
  <c r="P218" i="1"/>
  <c r="O218" i="1"/>
  <c r="N218" i="1"/>
  <c r="M218" i="1"/>
  <c r="U218" i="1" s="1"/>
  <c r="L218" i="1"/>
  <c r="F218" i="1"/>
  <c r="G218" i="1" s="1"/>
  <c r="E218" i="1"/>
  <c r="C218" i="1"/>
  <c r="B218" i="1"/>
  <c r="A218" i="1"/>
  <c r="AP217" i="1"/>
  <c r="AO217" i="1"/>
  <c r="AR217" i="1" s="1"/>
  <c r="AL217" i="1"/>
  <c r="AK217" i="1"/>
  <c r="AN217" i="1" s="1"/>
  <c r="AE217" i="1"/>
  <c r="AC217" i="1"/>
  <c r="AB217" i="1"/>
  <c r="AA217" i="1"/>
  <c r="Y217" i="1"/>
  <c r="X217" i="1"/>
  <c r="T217" i="1"/>
  <c r="S217" i="1"/>
  <c r="R217" i="1"/>
  <c r="Q217" i="1"/>
  <c r="P217" i="1"/>
  <c r="O217" i="1"/>
  <c r="N217" i="1"/>
  <c r="M217" i="1"/>
  <c r="U217" i="1" s="1"/>
  <c r="L217" i="1"/>
  <c r="F217" i="1"/>
  <c r="G217" i="1" s="1"/>
  <c r="E217" i="1"/>
  <c r="C217" i="1"/>
  <c r="B217" i="1"/>
  <c r="A217" i="1"/>
  <c r="AP216" i="1"/>
  <c r="AO216" i="1"/>
  <c r="AR216" i="1" s="1"/>
  <c r="AL216" i="1"/>
  <c r="AK216" i="1"/>
  <c r="AN216" i="1" s="1"/>
  <c r="AE216" i="1"/>
  <c r="AC216" i="1"/>
  <c r="AB216" i="1"/>
  <c r="AA216" i="1"/>
  <c r="Y216" i="1"/>
  <c r="X216" i="1"/>
  <c r="T216" i="1"/>
  <c r="S216" i="1"/>
  <c r="R216" i="1"/>
  <c r="Q216" i="1"/>
  <c r="P216" i="1"/>
  <c r="O216" i="1"/>
  <c r="N216" i="1"/>
  <c r="M216" i="1"/>
  <c r="U216" i="1" s="1"/>
  <c r="L216" i="1"/>
  <c r="F216" i="1"/>
  <c r="G216" i="1" s="1"/>
  <c r="E216" i="1"/>
  <c r="C216" i="1"/>
  <c r="B216" i="1"/>
  <c r="A216" i="1"/>
  <c r="AP215" i="1"/>
  <c r="AO215" i="1"/>
  <c r="AR215" i="1" s="1"/>
  <c r="AL215" i="1"/>
  <c r="AK215" i="1"/>
  <c r="AN215" i="1" s="1"/>
  <c r="AE215" i="1"/>
  <c r="AC215" i="1"/>
  <c r="AB215" i="1"/>
  <c r="AA215" i="1"/>
  <c r="Y215" i="1"/>
  <c r="X215" i="1"/>
  <c r="T215" i="1"/>
  <c r="S215" i="1"/>
  <c r="R215" i="1"/>
  <c r="Q215" i="1"/>
  <c r="P215" i="1"/>
  <c r="O215" i="1"/>
  <c r="N215" i="1"/>
  <c r="M215" i="1"/>
  <c r="U215" i="1" s="1"/>
  <c r="L215" i="1"/>
  <c r="F215" i="1"/>
  <c r="G215" i="1" s="1"/>
  <c r="E215" i="1"/>
  <c r="C215" i="1"/>
  <c r="B215" i="1"/>
  <c r="A215" i="1"/>
  <c r="AP214" i="1"/>
  <c r="AO214" i="1"/>
  <c r="AR214" i="1" s="1"/>
  <c r="AL214" i="1"/>
  <c r="AK214" i="1"/>
  <c r="AN214" i="1" s="1"/>
  <c r="AE214" i="1"/>
  <c r="AC214" i="1"/>
  <c r="AB214" i="1"/>
  <c r="AA214" i="1"/>
  <c r="Y214" i="1"/>
  <c r="X214" i="1"/>
  <c r="T214" i="1"/>
  <c r="S214" i="1"/>
  <c r="R214" i="1"/>
  <c r="Q214" i="1"/>
  <c r="P214" i="1"/>
  <c r="O214" i="1"/>
  <c r="N214" i="1"/>
  <c r="M214" i="1"/>
  <c r="U214" i="1" s="1"/>
  <c r="L214" i="1"/>
  <c r="F214" i="1"/>
  <c r="G214" i="1" s="1"/>
  <c r="E214" i="1"/>
  <c r="C214" i="1"/>
  <c r="B214" i="1"/>
  <c r="A214" i="1"/>
  <c r="AP213" i="1"/>
  <c r="AO213" i="1"/>
  <c r="AL213" i="1"/>
  <c r="AK213" i="1"/>
  <c r="AE213" i="1"/>
  <c r="AC213" i="1"/>
  <c r="AB213" i="1"/>
  <c r="AA213" i="1"/>
  <c r="Y213" i="1"/>
  <c r="X213" i="1"/>
  <c r="T213" i="1"/>
  <c r="S213" i="1"/>
  <c r="R213" i="1"/>
  <c r="Q213" i="1"/>
  <c r="P213" i="1"/>
  <c r="O213" i="1"/>
  <c r="N213" i="1"/>
  <c r="M213" i="1"/>
  <c r="U213" i="1" s="1"/>
  <c r="K213" i="1"/>
  <c r="L213" i="1" s="1"/>
  <c r="F213" i="1"/>
  <c r="G213" i="1" s="1"/>
  <c r="E213" i="1"/>
  <c r="C213" i="1"/>
  <c r="B213" i="1"/>
  <c r="A213" i="1"/>
  <c r="AQ212" i="1"/>
  <c r="AR212" i="1" s="1"/>
  <c r="AP212" i="1"/>
  <c r="AO212" i="1"/>
  <c r="AM212" i="1"/>
  <c r="AN212" i="1" s="1"/>
  <c r="AL212" i="1"/>
  <c r="AK212" i="1"/>
  <c r="AE212" i="1"/>
  <c r="AC212" i="1"/>
  <c r="AB212" i="1"/>
  <c r="AA212" i="1"/>
  <c r="Y212" i="1"/>
  <c r="X212" i="1"/>
  <c r="T212" i="1"/>
  <c r="S212" i="1"/>
  <c r="R212" i="1"/>
  <c r="Q212" i="1"/>
  <c r="P212" i="1"/>
  <c r="O212" i="1"/>
  <c r="N212" i="1"/>
  <c r="M212" i="1"/>
  <c r="U212" i="1" s="1"/>
  <c r="L212" i="1"/>
  <c r="F212" i="1"/>
  <c r="G212" i="1" s="1"/>
  <c r="E212" i="1"/>
  <c r="C212" i="1"/>
  <c r="B212" i="1"/>
  <c r="A212" i="1"/>
  <c r="AP211" i="1"/>
  <c r="AO211" i="1"/>
  <c r="AR211" i="1" s="1"/>
  <c r="AL211" i="1"/>
  <c r="AK211" i="1"/>
  <c r="AN211" i="1" s="1"/>
  <c r="AE211" i="1"/>
  <c r="AC211" i="1"/>
  <c r="AB211" i="1"/>
  <c r="AA211" i="1"/>
  <c r="Y211" i="1"/>
  <c r="X211" i="1"/>
  <c r="T211" i="1"/>
  <c r="S211" i="1"/>
  <c r="R211" i="1"/>
  <c r="Q211" i="1"/>
  <c r="P211" i="1"/>
  <c r="O211" i="1"/>
  <c r="N211" i="1"/>
  <c r="M211" i="1"/>
  <c r="U211" i="1" s="1"/>
  <c r="L211" i="1"/>
  <c r="F211" i="1"/>
  <c r="G211" i="1" s="1"/>
  <c r="E211" i="1"/>
  <c r="C211" i="1"/>
  <c r="B211" i="1"/>
  <c r="A211" i="1"/>
  <c r="AQ210" i="1"/>
  <c r="AR210" i="1" s="1"/>
  <c r="AP210" i="1"/>
  <c r="AO210" i="1"/>
  <c r="AM210" i="1"/>
  <c r="AN210" i="1" s="1"/>
  <c r="AL210" i="1"/>
  <c r="AK210" i="1"/>
  <c r="AE210" i="1"/>
  <c r="AC210" i="1"/>
  <c r="AB210" i="1"/>
  <c r="AA210" i="1"/>
  <c r="Y210" i="1"/>
  <c r="X210" i="1"/>
  <c r="T210" i="1"/>
  <c r="S210" i="1"/>
  <c r="R210" i="1"/>
  <c r="Q210" i="1"/>
  <c r="P210" i="1"/>
  <c r="O210" i="1"/>
  <c r="N210" i="1"/>
  <c r="M210" i="1"/>
  <c r="U210" i="1" s="1"/>
  <c r="L210" i="1"/>
  <c r="F210" i="1"/>
  <c r="G210" i="1" s="1"/>
  <c r="E210" i="1"/>
  <c r="C210" i="1"/>
  <c r="B210" i="1"/>
  <c r="A210" i="1"/>
  <c r="AP209" i="1"/>
  <c r="AO209" i="1"/>
  <c r="AL209" i="1"/>
  <c r="AK209" i="1"/>
  <c r="AE209" i="1"/>
  <c r="AC209" i="1"/>
  <c r="AB209" i="1"/>
  <c r="AA209" i="1"/>
  <c r="Y209" i="1"/>
  <c r="X209" i="1"/>
  <c r="T209" i="1"/>
  <c r="S209" i="1"/>
  <c r="R209" i="1"/>
  <c r="Q209" i="1"/>
  <c r="P209" i="1"/>
  <c r="O209" i="1"/>
  <c r="N209" i="1"/>
  <c r="M209" i="1"/>
  <c r="U209" i="1" s="1"/>
  <c r="K209" i="1"/>
  <c r="L209" i="1" s="1"/>
  <c r="F209" i="1"/>
  <c r="G209" i="1" s="1"/>
  <c r="E209" i="1"/>
  <c r="C209" i="1"/>
  <c r="B209" i="1"/>
  <c r="A209" i="1"/>
  <c r="AP208" i="1"/>
  <c r="AO208" i="1"/>
  <c r="AR208" i="1" s="1"/>
  <c r="AL208" i="1"/>
  <c r="AK208" i="1"/>
  <c r="AN208" i="1" s="1"/>
  <c r="AE208" i="1"/>
  <c r="AC208" i="1"/>
  <c r="AB208" i="1"/>
  <c r="AA208" i="1"/>
  <c r="Y208" i="1"/>
  <c r="X208" i="1"/>
  <c r="V208" i="1"/>
  <c r="T208" i="1"/>
  <c r="S208" i="1"/>
  <c r="R208" i="1"/>
  <c r="Q208" i="1"/>
  <c r="P208" i="1"/>
  <c r="O208" i="1"/>
  <c r="N208" i="1"/>
  <c r="M208" i="1"/>
  <c r="U208" i="1" s="1"/>
  <c r="L208" i="1"/>
  <c r="F208" i="1"/>
  <c r="G208" i="1" s="1"/>
  <c r="E208" i="1"/>
  <c r="C208" i="1"/>
  <c r="B208" i="1"/>
  <c r="A208" i="1"/>
  <c r="AP207" i="1"/>
  <c r="AO207" i="1"/>
  <c r="AR207" i="1" s="1"/>
  <c r="AL207" i="1"/>
  <c r="AK207" i="1"/>
  <c r="AN207" i="1" s="1"/>
  <c r="AE207" i="1"/>
  <c r="AC207" i="1"/>
  <c r="AB207" i="1"/>
  <c r="AA207" i="1"/>
  <c r="Y207" i="1"/>
  <c r="X207" i="1"/>
  <c r="V207" i="1"/>
  <c r="T207" i="1"/>
  <c r="S207" i="1"/>
  <c r="R207" i="1"/>
  <c r="Q207" i="1"/>
  <c r="P207" i="1"/>
  <c r="O207" i="1"/>
  <c r="N207" i="1"/>
  <c r="M207" i="1"/>
  <c r="U207" i="1" s="1"/>
  <c r="L207" i="1"/>
  <c r="F207" i="1"/>
  <c r="G207" i="1" s="1"/>
  <c r="E207" i="1"/>
  <c r="C207" i="1"/>
  <c r="B207" i="1"/>
  <c r="A207" i="1"/>
  <c r="AP206" i="1"/>
  <c r="AO206" i="1"/>
  <c r="AR206" i="1" s="1"/>
  <c r="AL206" i="1"/>
  <c r="AK206" i="1"/>
  <c r="AN206" i="1" s="1"/>
  <c r="AE206" i="1"/>
  <c r="AC206" i="1"/>
  <c r="AB206" i="1"/>
  <c r="AA206" i="1"/>
  <c r="Y206" i="1"/>
  <c r="X206" i="1"/>
  <c r="V206" i="1"/>
  <c r="T206" i="1"/>
  <c r="S206" i="1"/>
  <c r="R206" i="1"/>
  <c r="Q206" i="1"/>
  <c r="P206" i="1"/>
  <c r="O206" i="1"/>
  <c r="N206" i="1"/>
  <c r="M206" i="1"/>
  <c r="U206" i="1" s="1"/>
  <c r="L206" i="1"/>
  <c r="F206" i="1"/>
  <c r="G206" i="1" s="1"/>
  <c r="E206" i="1"/>
  <c r="C206" i="1"/>
  <c r="B206" i="1"/>
  <c r="A206" i="1"/>
  <c r="AP205" i="1"/>
  <c r="AO205" i="1"/>
  <c r="AR205" i="1" s="1"/>
  <c r="AL205" i="1"/>
  <c r="AK205" i="1"/>
  <c r="AN205" i="1" s="1"/>
  <c r="AE205" i="1"/>
  <c r="AC205" i="1"/>
  <c r="AB205" i="1"/>
  <c r="AA205" i="1"/>
  <c r="Y205" i="1"/>
  <c r="X205" i="1"/>
  <c r="V205" i="1"/>
  <c r="T205" i="1"/>
  <c r="S205" i="1"/>
  <c r="R205" i="1"/>
  <c r="Q205" i="1"/>
  <c r="P205" i="1"/>
  <c r="O205" i="1"/>
  <c r="N205" i="1"/>
  <c r="M205" i="1"/>
  <c r="U205" i="1" s="1"/>
  <c r="L205" i="1"/>
  <c r="F205" i="1"/>
  <c r="G205" i="1" s="1"/>
  <c r="E205" i="1"/>
  <c r="C205" i="1"/>
  <c r="B205" i="1"/>
  <c r="A205" i="1"/>
  <c r="AQ204" i="1"/>
  <c r="AR204" i="1" s="1"/>
  <c r="AP204" i="1"/>
  <c r="AO204" i="1"/>
  <c r="AM204" i="1"/>
  <c r="AN204" i="1" s="1"/>
  <c r="AL204" i="1"/>
  <c r="AK204" i="1"/>
  <c r="AE204" i="1"/>
  <c r="AC204" i="1"/>
  <c r="AB204" i="1"/>
  <c r="AA204" i="1"/>
  <c r="Y204" i="1"/>
  <c r="X204" i="1"/>
  <c r="V204" i="1"/>
  <c r="T204" i="1"/>
  <c r="S204" i="1"/>
  <c r="R204" i="1"/>
  <c r="Q204" i="1"/>
  <c r="P204" i="1"/>
  <c r="O204" i="1"/>
  <c r="N204" i="1"/>
  <c r="M204" i="1"/>
  <c r="U204" i="1" s="1"/>
  <c r="L204" i="1"/>
  <c r="F204" i="1"/>
  <c r="G204" i="1" s="1"/>
  <c r="E204" i="1"/>
  <c r="C204" i="1"/>
  <c r="B204" i="1"/>
  <c r="A204" i="1"/>
  <c r="AP203" i="1"/>
  <c r="AO203" i="1"/>
  <c r="AL203" i="1"/>
  <c r="AK203" i="1"/>
  <c r="AE203" i="1"/>
  <c r="AC203" i="1"/>
  <c r="AB203" i="1"/>
  <c r="AA203" i="1"/>
  <c r="Y203" i="1"/>
  <c r="X203" i="1"/>
  <c r="V203" i="1"/>
  <c r="T203" i="1"/>
  <c r="S203" i="1"/>
  <c r="R203" i="1"/>
  <c r="Q203" i="1"/>
  <c r="P203" i="1"/>
  <c r="O203" i="1"/>
  <c r="N203" i="1"/>
  <c r="M203" i="1"/>
  <c r="U203" i="1" s="1"/>
  <c r="K203" i="1"/>
  <c r="L203" i="1" s="1"/>
  <c r="F203" i="1"/>
  <c r="E203" i="1"/>
  <c r="C203" i="1"/>
  <c r="B203" i="1"/>
  <c r="AP202" i="1"/>
  <c r="AO202" i="1"/>
  <c r="AR202" i="1" s="1"/>
  <c r="AL202" i="1"/>
  <c r="AK202" i="1"/>
  <c r="AN202" i="1" s="1"/>
  <c r="AE202" i="1"/>
  <c r="AC202" i="1"/>
  <c r="AB202" i="1"/>
  <c r="AA202" i="1"/>
  <c r="Y202" i="1"/>
  <c r="X202" i="1"/>
  <c r="V202" i="1"/>
  <c r="T202" i="1"/>
  <c r="S202" i="1"/>
  <c r="R202" i="1"/>
  <c r="Q202" i="1"/>
  <c r="P202" i="1"/>
  <c r="O202" i="1"/>
  <c r="N202" i="1"/>
  <c r="M202" i="1"/>
  <c r="U202" i="1" s="1"/>
  <c r="L202" i="1"/>
  <c r="F202" i="1"/>
  <c r="G202" i="1" s="1"/>
  <c r="E202" i="1"/>
  <c r="C202" i="1"/>
  <c r="B202" i="1"/>
  <c r="A202" i="1"/>
  <c r="AP201" i="1"/>
  <c r="AO201" i="1"/>
  <c r="AR201" i="1" s="1"/>
  <c r="AL201" i="1"/>
  <c r="AK201" i="1"/>
  <c r="AN201" i="1" s="1"/>
  <c r="AE201" i="1"/>
  <c r="AC201" i="1"/>
  <c r="AB201" i="1"/>
  <c r="AA201" i="1"/>
  <c r="Y201" i="1"/>
  <c r="X201" i="1"/>
  <c r="V201" i="1"/>
  <c r="T201" i="1"/>
  <c r="S201" i="1"/>
  <c r="R201" i="1"/>
  <c r="Q201" i="1"/>
  <c r="P201" i="1"/>
  <c r="O201" i="1"/>
  <c r="N201" i="1"/>
  <c r="M201" i="1"/>
  <c r="U201" i="1" s="1"/>
  <c r="L201" i="1"/>
  <c r="F201" i="1"/>
  <c r="G201" i="1" s="1"/>
  <c r="E201" i="1"/>
  <c r="C201" i="1"/>
  <c r="B201" i="1"/>
  <c r="A201" i="1"/>
  <c r="AP200" i="1"/>
  <c r="AO200" i="1"/>
  <c r="AR200" i="1" s="1"/>
  <c r="AL200" i="1"/>
  <c r="AK200" i="1"/>
  <c r="AN200" i="1" s="1"/>
  <c r="AE200" i="1"/>
  <c r="AC200" i="1"/>
  <c r="AB200" i="1"/>
  <c r="AA200" i="1"/>
  <c r="Y200" i="1"/>
  <c r="X200" i="1"/>
  <c r="V200" i="1"/>
  <c r="T200" i="1"/>
  <c r="S200" i="1"/>
  <c r="R200" i="1"/>
  <c r="Q200" i="1"/>
  <c r="P200" i="1"/>
  <c r="O200" i="1"/>
  <c r="N200" i="1"/>
  <c r="M200" i="1"/>
  <c r="U200" i="1" s="1"/>
  <c r="L200" i="1"/>
  <c r="F200" i="1"/>
  <c r="G200" i="1" s="1"/>
  <c r="E200" i="1"/>
  <c r="C200" i="1"/>
  <c r="B200" i="1"/>
  <c r="A200" i="1"/>
  <c r="AQ199" i="1"/>
  <c r="AR199" i="1" s="1"/>
  <c r="AP199" i="1"/>
  <c r="AO199" i="1"/>
  <c r="AM199" i="1"/>
  <c r="AN199" i="1" s="1"/>
  <c r="AL199" i="1"/>
  <c r="AK199" i="1"/>
  <c r="AE199" i="1"/>
  <c r="AC199" i="1"/>
  <c r="AB199" i="1"/>
  <c r="AA199" i="1"/>
  <c r="Y199" i="1"/>
  <c r="X199" i="1"/>
  <c r="V199" i="1"/>
  <c r="T199" i="1"/>
  <c r="S199" i="1"/>
  <c r="R199" i="1"/>
  <c r="Q199" i="1"/>
  <c r="P199" i="1"/>
  <c r="O199" i="1"/>
  <c r="N199" i="1"/>
  <c r="M199" i="1"/>
  <c r="U199" i="1" s="1"/>
  <c r="L199" i="1"/>
  <c r="F199" i="1"/>
  <c r="G199" i="1" s="1"/>
  <c r="E199" i="1"/>
  <c r="C199" i="1"/>
  <c r="B199" i="1"/>
  <c r="A199" i="1"/>
  <c r="AP198" i="1"/>
  <c r="AO198" i="1"/>
  <c r="AL198" i="1"/>
  <c r="AK198" i="1"/>
  <c r="AE198" i="1"/>
  <c r="AC198" i="1"/>
  <c r="AB198" i="1"/>
  <c r="AA198" i="1"/>
  <c r="Y198" i="1"/>
  <c r="X198" i="1"/>
  <c r="V198" i="1"/>
  <c r="T198" i="1"/>
  <c r="S198" i="1"/>
  <c r="R198" i="1"/>
  <c r="Q198" i="1"/>
  <c r="P198" i="1"/>
  <c r="O198" i="1"/>
  <c r="N198" i="1"/>
  <c r="M198" i="1"/>
  <c r="U198" i="1" s="1"/>
  <c r="K198" i="1"/>
  <c r="L198" i="1" s="1"/>
  <c r="F198" i="1"/>
  <c r="G198" i="1" s="1"/>
  <c r="E198" i="1"/>
  <c r="C198" i="1"/>
  <c r="B198" i="1"/>
  <c r="A198" i="1"/>
  <c r="AP197" i="1"/>
  <c r="AO197" i="1"/>
  <c r="AR197" i="1" s="1"/>
  <c r="AL197" i="1"/>
  <c r="AK197" i="1"/>
  <c r="AN197" i="1" s="1"/>
  <c r="AE197" i="1"/>
  <c r="AC197" i="1"/>
  <c r="AB197" i="1"/>
  <c r="AA197" i="1"/>
  <c r="Y197" i="1"/>
  <c r="X197" i="1"/>
  <c r="V197" i="1"/>
  <c r="T197" i="1"/>
  <c r="S197" i="1"/>
  <c r="R197" i="1"/>
  <c r="Q197" i="1"/>
  <c r="P197" i="1"/>
  <c r="O197" i="1"/>
  <c r="N197" i="1"/>
  <c r="M197" i="1"/>
  <c r="U197" i="1" s="1"/>
  <c r="L197" i="1"/>
  <c r="F197" i="1"/>
  <c r="G197" i="1" s="1"/>
  <c r="E197" i="1"/>
  <c r="C197" i="1"/>
  <c r="B197" i="1"/>
  <c r="A197" i="1"/>
  <c r="AP196" i="1"/>
  <c r="AO196" i="1"/>
  <c r="AR196" i="1" s="1"/>
  <c r="AL196" i="1"/>
  <c r="AK196" i="1"/>
  <c r="AN196" i="1" s="1"/>
  <c r="AE196" i="1"/>
  <c r="AC196" i="1"/>
  <c r="AB196" i="1"/>
  <c r="AA196" i="1"/>
  <c r="Y196" i="1"/>
  <c r="X196" i="1"/>
  <c r="V196" i="1"/>
  <c r="T196" i="1"/>
  <c r="S196" i="1"/>
  <c r="R196" i="1"/>
  <c r="Q196" i="1"/>
  <c r="P196" i="1"/>
  <c r="O196" i="1"/>
  <c r="N196" i="1"/>
  <c r="M196" i="1"/>
  <c r="U196" i="1" s="1"/>
  <c r="L196" i="1"/>
  <c r="F196" i="1"/>
  <c r="G196" i="1" s="1"/>
  <c r="E196" i="1"/>
  <c r="C196" i="1"/>
  <c r="B196" i="1"/>
  <c r="A196" i="1"/>
  <c r="AP195" i="1"/>
  <c r="AO195" i="1"/>
  <c r="AR195" i="1" s="1"/>
  <c r="AL195" i="1"/>
  <c r="AK195" i="1"/>
  <c r="AN195" i="1" s="1"/>
  <c r="AE195" i="1"/>
  <c r="AC195" i="1"/>
  <c r="AB195" i="1"/>
  <c r="AA195" i="1"/>
  <c r="Y195" i="1"/>
  <c r="X195" i="1"/>
  <c r="V195" i="1"/>
  <c r="T195" i="1"/>
  <c r="S195" i="1"/>
  <c r="R195" i="1"/>
  <c r="Q195" i="1"/>
  <c r="P195" i="1"/>
  <c r="O195" i="1"/>
  <c r="N195" i="1"/>
  <c r="M195" i="1"/>
  <c r="U195" i="1" s="1"/>
  <c r="L195" i="1"/>
  <c r="F195" i="1"/>
  <c r="G195" i="1" s="1"/>
  <c r="E195" i="1"/>
  <c r="C195" i="1"/>
  <c r="B195" i="1"/>
  <c r="A195" i="1"/>
  <c r="AQ194" i="1"/>
  <c r="AR194" i="1" s="1"/>
  <c r="AP194" i="1"/>
  <c r="AO194" i="1"/>
  <c r="AM194" i="1"/>
  <c r="AN194" i="1" s="1"/>
  <c r="AL194" i="1"/>
  <c r="AK194" i="1"/>
  <c r="AE194" i="1"/>
  <c r="AC194" i="1"/>
  <c r="AB194" i="1"/>
  <c r="AA194" i="1"/>
  <c r="Y194" i="1"/>
  <c r="X194" i="1"/>
  <c r="V194" i="1"/>
  <c r="T194" i="1"/>
  <c r="S194" i="1"/>
  <c r="R194" i="1"/>
  <c r="Q194" i="1"/>
  <c r="P194" i="1"/>
  <c r="O194" i="1"/>
  <c r="N194" i="1"/>
  <c r="M194" i="1"/>
  <c r="U194" i="1" s="1"/>
  <c r="L194" i="1"/>
  <c r="F194" i="1"/>
  <c r="G194" i="1" s="1"/>
  <c r="E194" i="1"/>
  <c r="C194" i="1"/>
  <c r="B194" i="1"/>
  <c r="A194" i="1"/>
  <c r="AP193" i="1"/>
  <c r="AO193" i="1"/>
  <c r="AL193" i="1"/>
  <c r="AK193" i="1"/>
  <c r="AE193" i="1"/>
  <c r="AC193" i="1"/>
  <c r="AB193" i="1"/>
  <c r="AA193" i="1"/>
  <c r="Y193" i="1"/>
  <c r="X193" i="1"/>
  <c r="V193" i="1"/>
  <c r="T193" i="1"/>
  <c r="S193" i="1"/>
  <c r="R193" i="1"/>
  <c r="Q193" i="1"/>
  <c r="P193" i="1"/>
  <c r="O193" i="1"/>
  <c r="N193" i="1"/>
  <c r="M193" i="1"/>
  <c r="U193" i="1" s="1"/>
  <c r="K193" i="1"/>
  <c r="L193" i="1" s="1"/>
  <c r="F193" i="1"/>
  <c r="G193" i="1" s="1"/>
  <c r="E193" i="1"/>
  <c r="C193" i="1"/>
  <c r="B193" i="1"/>
  <c r="A193" i="1"/>
  <c r="AP192" i="1"/>
  <c r="AO192" i="1"/>
  <c r="AR192" i="1" s="1"/>
  <c r="AL192" i="1"/>
  <c r="AK192" i="1"/>
  <c r="AN192" i="1" s="1"/>
  <c r="AE192" i="1"/>
  <c r="AC192" i="1"/>
  <c r="AB192" i="1"/>
  <c r="AA192" i="1"/>
  <c r="Y192" i="1"/>
  <c r="Z192" i="1" s="1"/>
  <c r="X192" i="1"/>
  <c r="V192" i="1"/>
  <c r="T192" i="1"/>
  <c r="S192" i="1"/>
  <c r="R192" i="1"/>
  <c r="Q192" i="1"/>
  <c r="P192" i="1"/>
  <c r="O192" i="1"/>
  <c r="N192" i="1"/>
  <c r="M192" i="1"/>
  <c r="U192" i="1" s="1"/>
  <c r="L192" i="1"/>
  <c r="F192" i="1"/>
  <c r="G192" i="1" s="1"/>
  <c r="E192" i="1"/>
  <c r="C192" i="1"/>
  <c r="B192" i="1"/>
  <c r="A192" i="1"/>
  <c r="AP191" i="1"/>
  <c r="AO191" i="1"/>
  <c r="AR191" i="1" s="1"/>
  <c r="AL191" i="1"/>
  <c r="AK191" i="1"/>
  <c r="AN191" i="1" s="1"/>
  <c r="AE191" i="1"/>
  <c r="AC191" i="1"/>
  <c r="AB191" i="1"/>
  <c r="AA191" i="1"/>
  <c r="Y191" i="1"/>
  <c r="X191" i="1"/>
  <c r="V191" i="1"/>
  <c r="T191" i="1"/>
  <c r="S191" i="1"/>
  <c r="R191" i="1"/>
  <c r="Q191" i="1"/>
  <c r="P191" i="1"/>
  <c r="O191" i="1"/>
  <c r="N191" i="1"/>
  <c r="M191" i="1"/>
  <c r="U191" i="1" s="1"/>
  <c r="L191" i="1"/>
  <c r="F191" i="1"/>
  <c r="G191" i="1" s="1"/>
  <c r="E191" i="1"/>
  <c r="C191" i="1"/>
  <c r="B191" i="1"/>
  <c r="A191" i="1"/>
  <c r="AP190" i="1"/>
  <c r="AO190" i="1"/>
  <c r="AR190" i="1" s="1"/>
  <c r="AL190" i="1"/>
  <c r="AK190" i="1"/>
  <c r="AN190" i="1" s="1"/>
  <c r="AE190" i="1"/>
  <c r="AC190" i="1"/>
  <c r="AB190" i="1"/>
  <c r="AA190" i="1"/>
  <c r="Y190" i="1"/>
  <c r="X190" i="1"/>
  <c r="V190" i="1"/>
  <c r="T190" i="1"/>
  <c r="S190" i="1"/>
  <c r="R190" i="1"/>
  <c r="Q190" i="1"/>
  <c r="P190" i="1"/>
  <c r="O190" i="1"/>
  <c r="N190" i="1"/>
  <c r="M190" i="1"/>
  <c r="U190" i="1" s="1"/>
  <c r="L190" i="1"/>
  <c r="F190" i="1"/>
  <c r="G190" i="1" s="1"/>
  <c r="E190" i="1"/>
  <c r="C190" i="1"/>
  <c r="B190" i="1"/>
  <c r="A190" i="1"/>
  <c r="AP189" i="1"/>
  <c r="AO189" i="1"/>
  <c r="AL189" i="1"/>
  <c r="AK189" i="1"/>
  <c r="AE189" i="1"/>
  <c r="AC189" i="1"/>
  <c r="AB189" i="1"/>
  <c r="AA189" i="1"/>
  <c r="Y189" i="1"/>
  <c r="X189" i="1"/>
  <c r="V189" i="1"/>
  <c r="T189" i="1"/>
  <c r="S189" i="1"/>
  <c r="R189" i="1"/>
  <c r="Q189" i="1"/>
  <c r="P189" i="1"/>
  <c r="O189" i="1"/>
  <c r="N189" i="1"/>
  <c r="M189" i="1"/>
  <c r="U189" i="1" s="1"/>
  <c r="K189" i="1"/>
  <c r="L189" i="1" s="1"/>
  <c r="F189" i="1"/>
  <c r="G189" i="1" s="1"/>
  <c r="E189" i="1"/>
  <c r="C189" i="1"/>
  <c r="B189" i="1"/>
  <c r="A189" i="1"/>
  <c r="AP188" i="1"/>
  <c r="AO188" i="1"/>
  <c r="AR188" i="1" s="1"/>
  <c r="AL188" i="1"/>
  <c r="AK188" i="1"/>
  <c r="AN188" i="1" s="1"/>
  <c r="AE188" i="1"/>
  <c r="AC188" i="1"/>
  <c r="AB188" i="1"/>
  <c r="AA188" i="1"/>
  <c r="Y188" i="1"/>
  <c r="X188" i="1"/>
  <c r="V188" i="1"/>
  <c r="T188" i="1"/>
  <c r="S188" i="1"/>
  <c r="R188" i="1"/>
  <c r="Q188" i="1"/>
  <c r="P188" i="1"/>
  <c r="O188" i="1"/>
  <c r="N188" i="1"/>
  <c r="M188" i="1"/>
  <c r="U188" i="1" s="1"/>
  <c r="L188" i="1"/>
  <c r="F188" i="1"/>
  <c r="G188" i="1" s="1"/>
  <c r="E188" i="1"/>
  <c r="C188" i="1"/>
  <c r="B188" i="1"/>
  <c r="A188" i="1"/>
  <c r="AQ187" i="1"/>
  <c r="AR187" i="1" s="1"/>
  <c r="AP187" i="1"/>
  <c r="AO187" i="1"/>
  <c r="AM187" i="1"/>
  <c r="AN187" i="1" s="1"/>
  <c r="AL187" i="1"/>
  <c r="AK187" i="1"/>
  <c r="AE187" i="1"/>
  <c r="AC187" i="1"/>
  <c r="AB187" i="1"/>
  <c r="AA187" i="1"/>
  <c r="Y187" i="1"/>
  <c r="X187" i="1"/>
  <c r="V187" i="1"/>
  <c r="T187" i="1"/>
  <c r="S187" i="1"/>
  <c r="R187" i="1"/>
  <c r="Q187" i="1"/>
  <c r="P187" i="1"/>
  <c r="O187" i="1"/>
  <c r="N187" i="1"/>
  <c r="M187" i="1"/>
  <c r="U187" i="1" s="1"/>
  <c r="L187" i="1"/>
  <c r="F187" i="1"/>
  <c r="G187" i="1" s="1"/>
  <c r="E187" i="1"/>
  <c r="C187" i="1"/>
  <c r="B187" i="1"/>
  <c r="A187" i="1"/>
  <c r="AQ186" i="1"/>
  <c r="AR186" i="1" s="1"/>
  <c r="AP186" i="1"/>
  <c r="AO186" i="1"/>
  <c r="AM186" i="1"/>
  <c r="AN186" i="1" s="1"/>
  <c r="AL186" i="1"/>
  <c r="AK186" i="1"/>
  <c r="AE186" i="1"/>
  <c r="AC186" i="1"/>
  <c r="AB186" i="1"/>
  <c r="AA186" i="1"/>
  <c r="Y186" i="1"/>
  <c r="X186" i="1"/>
  <c r="V186" i="1"/>
  <c r="T186" i="1"/>
  <c r="S186" i="1"/>
  <c r="R186" i="1"/>
  <c r="Q186" i="1"/>
  <c r="P186" i="1"/>
  <c r="O186" i="1"/>
  <c r="N186" i="1"/>
  <c r="M186" i="1"/>
  <c r="U186" i="1" s="1"/>
  <c r="L186" i="1"/>
  <c r="F186" i="1"/>
  <c r="G186" i="1" s="1"/>
  <c r="E186" i="1"/>
  <c r="C186" i="1"/>
  <c r="B186" i="1"/>
  <c r="A186" i="1"/>
  <c r="AQ185" i="1"/>
  <c r="AR185" i="1" s="1"/>
  <c r="AP185" i="1"/>
  <c r="AO185" i="1"/>
  <c r="AM185" i="1"/>
  <c r="AN185" i="1" s="1"/>
  <c r="AL185" i="1"/>
  <c r="AK185" i="1"/>
  <c r="AE185" i="1"/>
  <c r="AC185" i="1"/>
  <c r="AB185" i="1"/>
  <c r="AA185" i="1"/>
  <c r="Y185" i="1"/>
  <c r="X185" i="1"/>
  <c r="V185" i="1"/>
  <c r="T185" i="1"/>
  <c r="S185" i="1"/>
  <c r="R185" i="1"/>
  <c r="Q185" i="1"/>
  <c r="P185" i="1"/>
  <c r="O185" i="1"/>
  <c r="N185" i="1"/>
  <c r="M185" i="1"/>
  <c r="U185" i="1" s="1"/>
  <c r="L185" i="1"/>
  <c r="F185" i="1"/>
  <c r="G185" i="1" s="1"/>
  <c r="E185" i="1"/>
  <c r="C185" i="1"/>
  <c r="B185" i="1"/>
  <c r="A185" i="1"/>
  <c r="AP184" i="1"/>
  <c r="AO184" i="1"/>
  <c r="AL184" i="1"/>
  <c r="AK184" i="1"/>
  <c r="AE184" i="1"/>
  <c r="AC184" i="1"/>
  <c r="AB184" i="1"/>
  <c r="AA184" i="1"/>
  <c r="Y184" i="1"/>
  <c r="X184" i="1"/>
  <c r="V184" i="1"/>
  <c r="T184" i="1"/>
  <c r="S184" i="1"/>
  <c r="R184" i="1"/>
  <c r="Q184" i="1"/>
  <c r="P184" i="1"/>
  <c r="O184" i="1"/>
  <c r="N184" i="1"/>
  <c r="M184" i="1"/>
  <c r="U184" i="1" s="1"/>
  <c r="K184" i="1"/>
  <c r="L184" i="1" s="1"/>
  <c r="F184" i="1"/>
  <c r="G184" i="1" s="1"/>
  <c r="E184" i="1"/>
  <c r="C184" i="1"/>
  <c r="B184" i="1"/>
  <c r="A184" i="1"/>
  <c r="AP183" i="1"/>
  <c r="AO183" i="1"/>
  <c r="AR183" i="1" s="1"/>
  <c r="AL183" i="1"/>
  <c r="AK183" i="1"/>
  <c r="AN183" i="1" s="1"/>
  <c r="AE183" i="1"/>
  <c r="AC183" i="1"/>
  <c r="AB183" i="1"/>
  <c r="AA183" i="1"/>
  <c r="Y183" i="1"/>
  <c r="X183" i="1"/>
  <c r="V183" i="1"/>
  <c r="T183" i="1"/>
  <c r="S183" i="1"/>
  <c r="R183" i="1"/>
  <c r="Q183" i="1"/>
  <c r="P183" i="1"/>
  <c r="O183" i="1"/>
  <c r="N183" i="1"/>
  <c r="M183" i="1"/>
  <c r="U183" i="1" s="1"/>
  <c r="L183" i="1"/>
  <c r="F183" i="1"/>
  <c r="G183" i="1" s="1"/>
  <c r="E183" i="1"/>
  <c r="C183" i="1"/>
  <c r="B183" i="1"/>
  <c r="A183" i="1"/>
  <c r="AP182" i="1"/>
  <c r="AO182" i="1"/>
  <c r="AR182" i="1" s="1"/>
  <c r="AL182" i="1"/>
  <c r="AK182" i="1"/>
  <c r="AN182" i="1" s="1"/>
  <c r="AE182" i="1"/>
  <c r="AC182" i="1"/>
  <c r="AB182" i="1"/>
  <c r="AA182" i="1"/>
  <c r="Y182" i="1"/>
  <c r="X182" i="1"/>
  <c r="V182" i="1"/>
  <c r="T182" i="1"/>
  <c r="S182" i="1"/>
  <c r="R182" i="1"/>
  <c r="Q182" i="1"/>
  <c r="P182" i="1"/>
  <c r="O182" i="1"/>
  <c r="N182" i="1"/>
  <c r="M182" i="1"/>
  <c r="U182" i="1" s="1"/>
  <c r="L182" i="1"/>
  <c r="F182" i="1"/>
  <c r="G182" i="1" s="1"/>
  <c r="E182" i="1"/>
  <c r="C182" i="1"/>
  <c r="B182" i="1"/>
  <c r="A182" i="1"/>
  <c r="AP181" i="1"/>
  <c r="AO181" i="1"/>
  <c r="AR181" i="1" s="1"/>
  <c r="AL181" i="1"/>
  <c r="AK181" i="1"/>
  <c r="AN181" i="1" s="1"/>
  <c r="AE181" i="1"/>
  <c r="AC181" i="1"/>
  <c r="AB181" i="1"/>
  <c r="AA181" i="1"/>
  <c r="Y181" i="1"/>
  <c r="X181" i="1"/>
  <c r="V181" i="1"/>
  <c r="T181" i="1"/>
  <c r="S181" i="1"/>
  <c r="R181" i="1"/>
  <c r="Q181" i="1"/>
  <c r="P181" i="1"/>
  <c r="O181" i="1"/>
  <c r="N181" i="1"/>
  <c r="M181" i="1"/>
  <c r="U181" i="1" s="1"/>
  <c r="L181" i="1"/>
  <c r="F181" i="1"/>
  <c r="G181" i="1" s="1"/>
  <c r="E181" i="1"/>
  <c r="C181" i="1"/>
  <c r="B181" i="1"/>
  <c r="A181" i="1"/>
  <c r="AP180" i="1"/>
  <c r="AO180" i="1"/>
  <c r="AR180" i="1" s="1"/>
  <c r="AL180" i="1"/>
  <c r="AK180" i="1"/>
  <c r="AN180" i="1" s="1"/>
  <c r="AE180" i="1"/>
  <c r="AC180" i="1"/>
  <c r="AB180" i="1"/>
  <c r="AA180" i="1"/>
  <c r="Y180" i="1"/>
  <c r="X180" i="1"/>
  <c r="V180" i="1"/>
  <c r="T180" i="1"/>
  <c r="S180" i="1"/>
  <c r="R180" i="1"/>
  <c r="Q180" i="1"/>
  <c r="P180" i="1"/>
  <c r="O180" i="1"/>
  <c r="N180" i="1"/>
  <c r="M180" i="1"/>
  <c r="U180" i="1" s="1"/>
  <c r="L180" i="1"/>
  <c r="F180" i="1"/>
  <c r="G180" i="1" s="1"/>
  <c r="E180" i="1"/>
  <c r="C180" i="1"/>
  <c r="B180" i="1"/>
  <c r="A180" i="1"/>
  <c r="AP179" i="1"/>
  <c r="AO179" i="1"/>
  <c r="AL179" i="1"/>
  <c r="AK179" i="1"/>
  <c r="AE179" i="1"/>
  <c r="AC179" i="1"/>
  <c r="AB179" i="1"/>
  <c r="AA179" i="1"/>
  <c r="Y179" i="1"/>
  <c r="X179" i="1"/>
  <c r="T179" i="1"/>
  <c r="S179" i="1"/>
  <c r="R179" i="1"/>
  <c r="Q179" i="1"/>
  <c r="P179" i="1"/>
  <c r="O179" i="1"/>
  <c r="N179" i="1"/>
  <c r="M179" i="1"/>
  <c r="U179" i="1" s="1"/>
  <c r="K179" i="1"/>
  <c r="L179" i="1" s="1"/>
  <c r="F179" i="1"/>
  <c r="G179" i="1" s="1"/>
  <c r="E179" i="1"/>
  <c r="C179" i="1"/>
  <c r="B179" i="1"/>
  <c r="A179" i="1"/>
  <c r="AP178" i="1"/>
  <c r="AO178" i="1"/>
  <c r="AR178" i="1" s="1"/>
  <c r="AL178" i="1"/>
  <c r="AK178" i="1"/>
  <c r="AN178" i="1" s="1"/>
  <c r="AE178" i="1"/>
  <c r="AC178" i="1"/>
  <c r="AB178" i="1"/>
  <c r="AA178" i="1"/>
  <c r="Y178" i="1"/>
  <c r="X178" i="1"/>
  <c r="T178" i="1"/>
  <c r="S178" i="1"/>
  <c r="R178" i="1"/>
  <c r="Q178" i="1"/>
  <c r="P178" i="1"/>
  <c r="O178" i="1"/>
  <c r="N178" i="1"/>
  <c r="M178" i="1"/>
  <c r="U178" i="1" s="1"/>
  <c r="L178" i="1"/>
  <c r="F178" i="1"/>
  <c r="G178" i="1" s="1"/>
  <c r="E178" i="1"/>
  <c r="C178" i="1"/>
  <c r="B178" i="1"/>
  <c r="A178" i="1"/>
  <c r="AP177" i="1"/>
  <c r="AO177" i="1"/>
  <c r="AR177" i="1" s="1"/>
  <c r="AL177" i="1"/>
  <c r="AK177" i="1"/>
  <c r="AN177" i="1" s="1"/>
  <c r="AE177" i="1"/>
  <c r="AC177" i="1"/>
  <c r="AB177" i="1"/>
  <c r="AA177" i="1"/>
  <c r="Y177" i="1"/>
  <c r="X177" i="1"/>
  <c r="T177" i="1"/>
  <c r="S177" i="1"/>
  <c r="R177" i="1"/>
  <c r="Q177" i="1"/>
  <c r="P177" i="1"/>
  <c r="O177" i="1"/>
  <c r="N177" i="1"/>
  <c r="M177" i="1"/>
  <c r="U177" i="1" s="1"/>
  <c r="L177" i="1"/>
  <c r="F177" i="1"/>
  <c r="G177" i="1" s="1"/>
  <c r="E177" i="1"/>
  <c r="C177" i="1"/>
  <c r="B177" i="1"/>
  <c r="A177" i="1"/>
  <c r="AP176" i="1"/>
  <c r="AO176" i="1"/>
  <c r="AR176" i="1" s="1"/>
  <c r="AL176" i="1"/>
  <c r="AK176" i="1"/>
  <c r="AN176" i="1" s="1"/>
  <c r="AE176" i="1"/>
  <c r="AC176" i="1"/>
  <c r="AB176" i="1"/>
  <c r="AA176" i="1"/>
  <c r="Y176" i="1"/>
  <c r="X176" i="1"/>
  <c r="T176" i="1"/>
  <c r="S176" i="1"/>
  <c r="R176" i="1"/>
  <c r="Q176" i="1"/>
  <c r="P176" i="1"/>
  <c r="O176" i="1"/>
  <c r="N176" i="1"/>
  <c r="M176" i="1"/>
  <c r="U176" i="1" s="1"/>
  <c r="L176" i="1"/>
  <c r="F176" i="1"/>
  <c r="G176" i="1" s="1"/>
  <c r="E176" i="1"/>
  <c r="C176" i="1"/>
  <c r="B176" i="1"/>
  <c r="A176" i="1"/>
  <c r="AQ175" i="1"/>
  <c r="AR175" i="1" s="1"/>
  <c r="AP175" i="1"/>
  <c r="AO175" i="1"/>
  <c r="AM175" i="1"/>
  <c r="AN175" i="1" s="1"/>
  <c r="AL175" i="1"/>
  <c r="AK175" i="1"/>
  <c r="AE175" i="1"/>
  <c r="AC175" i="1"/>
  <c r="AB175" i="1"/>
  <c r="AA175" i="1"/>
  <c r="Y175" i="1"/>
  <c r="X175" i="1"/>
  <c r="T175" i="1"/>
  <c r="S175" i="1"/>
  <c r="R175" i="1"/>
  <c r="Q175" i="1"/>
  <c r="P175" i="1"/>
  <c r="O175" i="1"/>
  <c r="N175" i="1"/>
  <c r="M175" i="1"/>
  <c r="U175" i="1" s="1"/>
  <c r="L175" i="1"/>
  <c r="F175" i="1"/>
  <c r="G175" i="1" s="1"/>
  <c r="E175" i="1"/>
  <c r="C175" i="1"/>
  <c r="B175" i="1"/>
  <c r="A175" i="1"/>
  <c r="AP174" i="1"/>
  <c r="AO174" i="1"/>
  <c r="AL174" i="1"/>
  <c r="AK174" i="1"/>
  <c r="AE174" i="1"/>
  <c r="AC174" i="1"/>
  <c r="AB174" i="1"/>
  <c r="AA174" i="1"/>
  <c r="Y174" i="1"/>
  <c r="X174" i="1"/>
  <c r="T174" i="1"/>
  <c r="S174" i="1"/>
  <c r="R174" i="1"/>
  <c r="Q174" i="1"/>
  <c r="P174" i="1"/>
  <c r="O174" i="1"/>
  <c r="N174" i="1"/>
  <c r="M174" i="1"/>
  <c r="U174" i="1" s="1"/>
  <c r="K174" i="1"/>
  <c r="L174" i="1" s="1"/>
  <c r="F174" i="1"/>
  <c r="G174" i="1" s="1"/>
  <c r="E174" i="1"/>
  <c r="C174" i="1"/>
  <c r="B174" i="1"/>
  <c r="A174" i="1"/>
  <c r="AP173" i="1"/>
  <c r="AO173" i="1"/>
  <c r="AR173" i="1" s="1"/>
  <c r="AL173" i="1"/>
  <c r="AK173" i="1"/>
  <c r="AN173" i="1" s="1"/>
  <c r="AE173" i="1"/>
  <c r="AC173" i="1"/>
  <c r="AB173" i="1"/>
  <c r="AA173" i="1"/>
  <c r="Y173" i="1"/>
  <c r="X173" i="1"/>
  <c r="T173" i="1"/>
  <c r="S173" i="1"/>
  <c r="R173" i="1"/>
  <c r="Q173" i="1"/>
  <c r="P173" i="1"/>
  <c r="O173" i="1"/>
  <c r="N173" i="1"/>
  <c r="M173" i="1"/>
  <c r="U173" i="1" s="1"/>
  <c r="L173" i="1"/>
  <c r="F173" i="1"/>
  <c r="G173" i="1" s="1"/>
  <c r="E173" i="1"/>
  <c r="C173" i="1"/>
  <c r="B173" i="1"/>
  <c r="A173" i="1"/>
  <c r="AP172" i="1"/>
  <c r="AO172" i="1"/>
  <c r="AR172" i="1" s="1"/>
  <c r="AL172" i="1"/>
  <c r="AK172" i="1"/>
  <c r="AN172" i="1" s="1"/>
  <c r="AE172" i="1"/>
  <c r="AC172" i="1"/>
  <c r="AB172" i="1"/>
  <c r="AA172" i="1"/>
  <c r="Y172" i="1"/>
  <c r="X172" i="1"/>
  <c r="T172" i="1"/>
  <c r="S172" i="1"/>
  <c r="R172" i="1"/>
  <c r="Q172" i="1"/>
  <c r="P172" i="1"/>
  <c r="O172" i="1"/>
  <c r="N172" i="1"/>
  <c r="M172" i="1"/>
  <c r="U172" i="1" s="1"/>
  <c r="L172" i="1"/>
  <c r="F172" i="1"/>
  <c r="G172" i="1" s="1"/>
  <c r="E172" i="1"/>
  <c r="C172" i="1"/>
  <c r="B172" i="1"/>
  <c r="A172" i="1"/>
  <c r="AP171" i="1"/>
  <c r="AO171" i="1"/>
  <c r="AR171" i="1" s="1"/>
  <c r="AL171" i="1"/>
  <c r="AK171" i="1"/>
  <c r="AN171" i="1" s="1"/>
  <c r="AE171" i="1"/>
  <c r="AC171" i="1"/>
  <c r="AB171" i="1"/>
  <c r="AA171" i="1"/>
  <c r="Y171" i="1"/>
  <c r="X171" i="1"/>
  <c r="T171" i="1"/>
  <c r="S171" i="1"/>
  <c r="R171" i="1"/>
  <c r="Q171" i="1"/>
  <c r="P171" i="1"/>
  <c r="O171" i="1"/>
  <c r="N171" i="1"/>
  <c r="M171" i="1"/>
  <c r="U171" i="1" s="1"/>
  <c r="L171" i="1"/>
  <c r="F171" i="1"/>
  <c r="G171" i="1" s="1"/>
  <c r="E171" i="1"/>
  <c r="C171" i="1"/>
  <c r="B171" i="1"/>
  <c r="A171" i="1"/>
  <c r="AP170" i="1"/>
  <c r="AO170" i="1"/>
  <c r="AR170" i="1" s="1"/>
  <c r="AL170" i="1"/>
  <c r="AK170" i="1"/>
  <c r="AN170" i="1" s="1"/>
  <c r="AE170" i="1"/>
  <c r="AC170" i="1"/>
  <c r="AB170" i="1"/>
  <c r="AA170" i="1"/>
  <c r="Y170" i="1"/>
  <c r="X170" i="1"/>
  <c r="T170" i="1"/>
  <c r="S170" i="1"/>
  <c r="R170" i="1"/>
  <c r="Q170" i="1"/>
  <c r="P170" i="1"/>
  <c r="O170" i="1"/>
  <c r="N170" i="1"/>
  <c r="M170" i="1"/>
  <c r="U170" i="1" s="1"/>
  <c r="L170" i="1"/>
  <c r="F170" i="1"/>
  <c r="G170" i="1" s="1"/>
  <c r="E170" i="1"/>
  <c r="C170" i="1"/>
  <c r="B170" i="1"/>
  <c r="A170" i="1"/>
  <c r="AP169" i="1"/>
  <c r="AO169" i="1"/>
  <c r="AR169" i="1" s="1"/>
  <c r="AL169" i="1"/>
  <c r="AK169" i="1"/>
  <c r="AN169" i="1" s="1"/>
  <c r="AE169" i="1"/>
  <c r="AC169" i="1"/>
  <c r="AB169" i="1"/>
  <c r="AA169" i="1"/>
  <c r="Y169" i="1"/>
  <c r="X169" i="1"/>
  <c r="T169" i="1"/>
  <c r="S169" i="1"/>
  <c r="R169" i="1"/>
  <c r="Q169" i="1"/>
  <c r="P169" i="1"/>
  <c r="O169" i="1"/>
  <c r="N169" i="1"/>
  <c r="M169" i="1"/>
  <c r="U169" i="1" s="1"/>
  <c r="L169" i="1"/>
  <c r="F169" i="1"/>
  <c r="G169" i="1" s="1"/>
  <c r="E169" i="1"/>
  <c r="C169" i="1"/>
  <c r="B169" i="1"/>
  <c r="A169" i="1"/>
  <c r="AP168" i="1"/>
  <c r="AO168" i="1"/>
  <c r="AL168" i="1"/>
  <c r="AK168" i="1"/>
  <c r="AE168" i="1"/>
  <c r="AC168" i="1"/>
  <c r="AB168" i="1"/>
  <c r="AA168" i="1"/>
  <c r="Y168" i="1"/>
  <c r="X168" i="1"/>
  <c r="T168" i="1"/>
  <c r="S168" i="1"/>
  <c r="R168" i="1"/>
  <c r="Q168" i="1"/>
  <c r="P168" i="1"/>
  <c r="O168" i="1"/>
  <c r="N168" i="1"/>
  <c r="M168" i="1"/>
  <c r="U168" i="1" s="1"/>
  <c r="K168" i="1"/>
  <c r="L168" i="1" s="1"/>
  <c r="F168" i="1"/>
  <c r="G168" i="1" s="1"/>
  <c r="E168" i="1"/>
  <c r="C168" i="1"/>
  <c r="B168" i="1"/>
  <c r="A168" i="1"/>
  <c r="AP167" i="1"/>
  <c r="AO167" i="1"/>
  <c r="AR167" i="1" s="1"/>
  <c r="AL167" i="1"/>
  <c r="AK167" i="1"/>
  <c r="AN167" i="1" s="1"/>
  <c r="AE167" i="1"/>
  <c r="AC167" i="1"/>
  <c r="AB167" i="1"/>
  <c r="AA167" i="1"/>
  <c r="Y167" i="1"/>
  <c r="X167" i="1"/>
  <c r="T167" i="1"/>
  <c r="S167" i="1"/>
  <c r="R167" i="1"/>
  <c r="Q167" i="1"/>
  <c r="P167" i="1"/>
  <c r="O167" i="1"/>
  <c r="N167" i="1"/>
  <c r="M167" i="1"/>
  <c r="U167" i="1" s="1"/>
  <c r="L167" i="1"/>
  <c r="F167" i="1"/>
  <c r="G167" i="1" s="1"/>
  <c r="E167" i="1"/>
  <c r="C167" i="1"/>
  <c r="B167" i="1"/>
  <c r="A167" i="1"/>
  <c r="AP166" i="1"/>
  <c r="AO166" i="1"/>
  <c r="AR166" i="1" s="1"/>
  <c r="AL166" i="1"/>
  <c r="AK166" i="1"/>
  <c r="AN166" i="1" s="1"/>
  <c r="AE166" i="1"/>
  <c r="AC166" i="1"/>
  <c r="AB166" i="1"/>
  <c r="AA166" i="1"/>
  <c r="Y166" i="1"/>
  <c r="X166" i="1"/>
  <c r="T166" i="1"/>
  <c r="S166" i="1"/>
  <c r="R166" i="1"/>
  <c r="Q166" i="1"/>
  <c r="P166" i="1"/>
  <c r="O166" i="1"/>
  <c r="N166" i="1"/>
  <c r="M166" i="1"/>
  <c r="U166" i="1" s="1"/>
  <c r="L166" i="1"/>
  <c r="F166" i="1"/>
  <c r="G166" i="1" s="1"/>
  <c r="E166" i="1"/>
  <c r="C166" i="1"/>
  <c r="B166" i="1"/>
  <c r="A166" i="1"/>
  <c r="AP165" i="1"/>
  <c r="AO165" i="1"/>
  <c r="AR165" i="1" s="1"/>
  <c r="AL165" i="1"/>
  <c r="AK165" i="1"/>
  <c r="AN165" i="1" s="1"/>
  <c r="AE165" i="1"/>
  <c r="AC165" i="1"/>
  <c r="AB165" i="1"/>
  <c r="AA165" i="1"/>
  <c r="Y165" i="1"/>
  <c r="X165" i="1"/>
  <c r="T165" i="1"/>
  <c r="S165" i="1"/>
  <c r="R165" i="1"/>
  <c r="Q165" i="1"/>
  <c r="P165" i="1"/>
  <c r="O165" i="1"/>
  <c r="N165" i="1"/>
  <c r="M165" i="1"/>
  <c r="U165" i="1" s="1"/>
  <c r="L165" i="1"/>
  <c r="F165" i="1"/>
  <c r="G165" i="1" s="1"/>
  <c r="E165" i="1"/>
  <c r="C165" i="1"/>
  <c r="B165" i="1"/>
  <c r="A165" i="1"/>
  <c r="AQ164" i="1"/>
  <c r="AR164" i="1" s="1"/>
  <c r="AP164" i="1"/>
  <c r="AO164" i="1"/>
  <c r="AM164" i="1"/>
  <c r="AN164" i="1" s="1"/>
  <c r="AL164" i="1"/>
  <c r="AK164" i="1"/>
  <c r="AE164" i="1"/>
  <c r="AC164" i="1"/>
  <c r="AB164" i="1"/>
  <c r="AA164" i="1"/>
  <c r="Y164" i="1"/>
  <c r="X164" i="1"/>
  <c r="T164" i="1"/>
  <c r="S164" i="1"/>
  <c r="R164" i="1"/>
  <c r="Q164" i="1"/>
  <c r="P164" i="1"/>
  <c r="O164" i="1"/>
  <c r="N164" i="1"/>
  <c r="M164" i="1"/>
  <c r="U164" i="1" s="1"/>
  <c r="L164" i="1"/>
  <c r="F164" i="1"/>
  <c r="G164" i="1" s="1"/>
  <c r="E164" i="1"/>
  <c r="C164" i="1"/>
  <c r="B164" i="1"/>
  <c r="A164" i="1"/>
  <c r="AQ163" i="1"/>
  <c r="AR163" i="1" s="1"/>
  <c r="AP163" i="1"/>
  <c r="AO163" i="1"/>
  <c r="AM163" i="1"/>
  <c r="AN163" i="1" s="1"/>
  <c r="AL163" i="1"/>
  <c r="AK163" i="1"/>
  <c r="AE163" i="1"/>
  <c r="AC163" i="1"/>
  <c r="AB163" i="1"/>
  <c r="AA163" i="1"/>
  <c r="Y163" i="1"/>
  <c r="X163" i="1"/>
  <c r="T163" i="1"/>
  <c r="S163" i="1"/>
  <c r="R163" i="1"/>
  <c r="Q163" i="1"/>
  <c r="P163" i="1"/>
  <c r="O163" i="1"/>
  <c r="N163" i="1"/>
  <c r="M163" i="1"/>
  <c r="U163" i="1" s="1"/>
  <c r="L163" i="1"/>
  <c r="F163" i="1"/>
  <c r="G163" i="1" s="1"/>
  <c r="E163" i="1"/>
  <c r="C163" i="1"/>
  <c r="B163" i="1"/>
  <c r="A163" i="1"/>
  <c r="AP162" i="1"/>
  <c r="AO162" i="1"/>
  <c r="AL162" i="1"/>
  <c r="AK162" i="1"/>
  <c r="AE162" i="1"/>
  <c r="AC162" i="1"/>
  <c r="AB162" i="1"/>
  <c r="AA162" i="1"/>
  <c r="Y162" i="1"/>
  <c r="X162" i="1"/>
  <c r="T162" i="1"/>
  <c r="S162" i="1"/>
  <c r="R162" i="1"/>
  <c r="Q162" i="1"/>
  <c r="P162" i="1"/>
  <c r="O162" i="1"/>
  <c r="N162" i="1"/>
  <c r="M162" i="1"/>
  <c r="U162" i="1" s="1"/>
  <c r="K162" i="1"/>
  <c r="L162" i="1" s="1"/>
  <c r="F162" i="1"/>
  <c r="G162" i="1" s="1"/>
  <c r="E162" i="1"/>
  <c r="C162" i="1"/>
  <c r="B162" i="1"/>
  <c r="A162" i="1"/>
  <c r="AP161" i="1"/>
  <c r="AO161" i="1"/>
  <c r="AR161" i="1" s="1"/>
  <c r="AL161" i="1"/>
  <c r="AK161" i="1"/>
  <c r="AN161" i="1" s="1"/>
  <c r="AE161" i="1"/>
  <c r="AC161" i="1"/>
  <c r="AB161" i="1"/>
  <c r="AA161" i="1"/>
  <c r="Y161" i="1"/>
  <c r="X161" i="1"/>
  <c r="T161" i="1"/>
  <c r="S161" i="1"/>
  <c r="R161" i="1"/>
  <c r="Q161" i="1"/>
  <c r="P161" i="1"/>
  <c r="O161" i="1"/>
  <c r="N161" i="1"/>
  <c r="M161" i="1"/>
  <c r="U161" i="1" s="1"/>
  <c r="L161" i="1"/>
  <c r="F161" i="1"/>
  <c r="G161" i="1" s="1"/>
  <c r="E161" i="1"/>
  <c r="C161" i="1"/>
  <c r="B161" i="1"/>
  <c r="A161" i="1"/>
  <c r="AP160" i="1"/>
  <c r="AO160" i="1"/>
  <c r="AR160" i="1" s="1"/>
  <c r="AL160" i="1"/>
  <c r="AK160" i="1"/>
  <c r="AN160" i="1" s="1"/>
  <c r="AE160" i="1"/>
  <c r="AC160" i="1"/>
  <c r="AB160" i="1"/>
  <c r="AA160" i="1"/>
  <c r="Y160" i="1"/>
  <c r="X160" i="1"/>
  <c r="T160" i="1"/>
  <c r="S160" i="1"/>
  <c r="R160" i="1"/>
  <c r="Q160" i="1"/>
  <c r="P160" i="1"/>
  <c r="O160" i="1"/>
  <c r="N160" i="1"/>
  <c r="M160" i="1"/>
  <c r="U160" i="1" s="1"/>
  <c r="L160" i="1"/>
  <c r="F160" i="1"/>
  <c r="G160" i="1" s="1"/>
  <c r="E160" i="1"/>
  <c r="C160" i="1"/>
  <c r="B160" i="1"/>
  <c r="A160" i="1"/>
  <c r="AP159" i="1"/>
  <c r="AO159" i="1"/>
  <c r="AR159" i="1" s="1"/>
  <c r="AL159" i="1"/>
  <c r="AK159" i="1"/>
  <c r="AN159" i="1" s="1"/>
  <c r="AE159" i="1"/>
  <c r="AC159" i="1"/>
  <c r="AB159" i="1"/>
  <c r="AA159" i="1"/>
  <c r="Y159" i="1"/>
  <c r="X159" i="1"/>
  <c r="T159" i="1"/>
  <c r="S159" i="1"/>
  <c r="R159" i="1"/>
  <c r="Q159" i="1"/>
  <c r="P159" i="1"/>
  <c r="O159" i="1"/>
  <c r="N159" i="1"/>
  <c r="M159" i="1"/>
  <c r="U159" i="1" s="1"/>
  <c r="L159" i="1"/>
  <c r="F159" i="1"/>
  <c r="G159" i="1" s="1"/>
  <c r="E159" i="1"/>
  <c r="C159" i="1"/>
  <c r="B159" i="1"/>
  <c r="A159" i="1"/>
  <c r="AQ158" i="1"/>
  <c r="AR158" i="1" s="1"/>
  <c r="AP158" i="1"/>
  <c r="AO158" i="1"/>
  <c r="AM158" i="1"/>
  <c r="AN158" i="1" s="1"/>
  <c r="AL158" i="1"/>
  <c r="AK158" i="1"/>
  <c r="AE158" i="1"/>
  <c r="AC158" i="1"/>
  <c r="AB158" i="1"/>
  <c r="AA158" i="1"/>
  <c r="Y158" i="1"/>
  <c r="X158" i="1"/>
  <c r="T158" i="1"/>
  <c r="S158" i="1"/>
  <c r="R158" i="1"/>
  <c r="Q158" i="1"/>
  <c r="P158" i="1"/>
  <c r="O158" i="1"/>
  <c r="N158" i="1"/>
  <c r="M158" i="1"/>
  <c r="U158" i="1" s="1"/>
  <c r="L158" i="1"/>
  <c r="F158" i="1"/>
  <c r="G158" i="1" s="1"/>
  <c r="E158" i="1"/>
  <c r="C158" i="1"/>
  <c r="B158" i="1"/>
  <c r="A158" i="1"/>
  <c r="AP157" i="1"/>
  <c r="AO157" i="1"/>
  <c r="AL157" i="1"/>
  <c r="AK157" i="1"/>
  <c r="AE157" i="1"/>
  <c r="AC157" i="1"/>
  <c r="AB157" i="1"/>
  <c r="AA157" i="1"/>
  <c r="Y157" i="1"/>
  <c r="X157" i="1"/>
  <c r="T157" i="1"/>
  <c r="S157" i="1"/>
  <c r="R157" i="1"/>
  <c r="Q157" i="1"/>
  <c r="P157" i="1"/>
  <c r="O157" i="1"/>
  <c r="N157" i="1"/>
  <c r="M157" i="1"/>
  <c r="U157" i="1" s="1"/>
  <c r="K157" i="1"/>
  <c r="L157" i="1" s="1"/>
  <c r="F157" i="1"/>
  <c r="G157" i="1" s="1"/>
  <c r="E157" i="1"/>
  <c r="C157" i="1"/>
  <c r="B157" i="1"/>
  <c r="A157" i="1"/>
  <c r="AP156" i="1"/>
  <c r="AO156" i="1"/>
  <c r="AR156" i="1" s="1"/>
  <c r="AL156" i="1"/>
  <c r="AK156" i="1"/>
  <c r="AN156" i="1" s="1"/>
  <c r="AE156" i="1"/>
  <c r="AC156" i="1"/>
  <c r="AB156" i="1"/>
  <c r="AA156" i="1"/>
  <c r="Y156" i="1"/>
  <c r="X156" i="1"/>
  <c r="T156" i="1"/>
  <c r="S156" i="1"/>
  <c r="R156" i="1"/>
  <c r="Q156" i="1"/>
  <c r="P156" i="1"/>
  <c r="O156" i="1"/>
  <c r="N156" i="1"/>
  <c r="M156" i="1"/>
  <c r="U156" i="1" s="1"/>
  <c r="L156" i="1"/>
  <c r="F156" i="1"/>
  <c r="G156" i="1" s="1"/>
  <c r="E156" i="1"/>
  <c r="C156" i="1"/>
  <c r="B156" i="1"/>
  <c r="A156" i="1"/>
  <c r="AP155" i="1"/>
  <c r="AO155" i="1"/>
  <c r="AR155" i="1" s="1"/>
  <c r="AL155" i="1"/>
  <c r="AK155" i="1"/>
  <c r="AN155" i="1" s="1"/>
  <c r="AE155" i="1"/>
  <c r="AC155" i="1"/>
  <c r="AB155" i="1"/>
  <c r="AA155" i="1"/>
  <c r="Y155" i="1"/>
  <c r="X155" i="1"/>
  <c r="T155" i="1"/>
  <c r="S155" i="1"/>
  <c r="R155" i="1"/>
  <c r="Q155" i="1"/>
  <c r="P155" i="1"/>
  <c r="O155" i="1"/>
  <c r="N155" i="1"/>
  <c r="M155" i="1"/>
  <c r="U155" i="1" s="1"/>
  <c r="L155" i="1"/>
  <c r="F155" i="1"/>
  <c r="G155" i="1" s="1"/>
  <c r="E155" i="1"/>
  <c r="C155" i="1"/>
  <c r="B155" i="1"/>
  <c r="A155" i="1"/>
  <c r="AP154" i="1"/>
  <c r="AO154" i="1"/>
  <c r="AR154" i="1" s="1"/>
  <c r="AL154" i="1"/>
  <c r="AK154" i="1"/>
  <c r="AN154" i="1" s="1"/>
  <c r="AE154" i="1"/>
  <c r="AC154" i="1"/>
  <c r="AB154" i="1"/>
  <c r="AA154" i="1"/>
  <c r="Y154" i="1"/>
  <c r="X154" i="1"/>
  <c r="T154" i="1"/>
  <c r="S154" i="1"/>
  <c r="R154" i="1"/>
  <c r="Q154" i="1"/>
  <c r="P154" i="1"/>
  <c r="O154" i="1"/>
  <c r="N154" i="1"/>
  <c r="M154" i="1"/>
  <c r="U154" i="1" s="1"/>
  <c r="L154" i="1"/>
  <c r="F154" i="1"/>
  <c r="G154" i="1" s="1"/>
  <c r="E154" i="1"/>
  <c r="C154" i="1"/>
  <c r="B154" i="1"/>
  <c r="A154" i="1"/>
  <c r="AP153" i="1"/>
  <c r="AO153" i="1"/>
  <c r="AR153" i="1" s="1"/>
  <c r="AL153" i="1"/>
  <c r="AK153" i="1"/>
  <c r="AN153" i="1" s="1"/>
  <c r="AE153" i="1"/>
  <c r="AC153" i="1"/>
  <c r="AB153" i="1"/>
  <c r="AA153" i="1"/>
  <c r="Y153" i="1"/>
  <c r="X153" i="1"/>
  <c r="T153" i="1"/>
  <c r="S153" i="1"/>
  <c r="R153" i="1"/>
  <c r="Q153" i="1"/>
  <c r="P153" i="1"/>
  <c r="O153" i="1"/>
  <c r="N153" i="1"/>
  <c r="M153" i="1"/>
  <c r="U153" i="1" s="1"/>
  <c r="L153" i="1"/>
  <c r="F153" i="1"/>
  <c r="G153" i="1" s="1"/>
  <c r="E153" i="1"/>
  <c r="C153" i="1"/>
  <c r="B153" i="1"/>
  <c r="A153" i="1"/>
  <c r="AP152" i="1"/>
  <c r="AO152" i="1"/>
  <c r="AL152" i="1"/>
  <c r="AK152" i="1"/>
  <c r="AE152" i="1"/>
  <c r="AC152" i="1"/>
  <c r="AB152" i="1"/>
  <c r="AA152" i="1"/>
  <c r="Y152" i="1"/>
  <c r="X152" i="1"/>
  <c r="T152" i="1"/>
  <c r="S152" i="1"/>
  <c r="R152" i="1"/>
  <c r="Q152" i="1"/>
  <c r="P152" i="1"/>
  <c r="O152" i="1"/>
  <c r="N152" i="1"/>
  <c r="M152" i="1"/>
  <c r="U152" i="1" s="1"/>
  <c r="K152" i="1"/>
  <c r="L152" i="1" s="1"/>
  <c r="F152" i="1"/>
  <c r="G152" i="1" s="1"/>
  <c r="E152" i="1"/>
  <c r="C152" i="1"/>
  <c r="B152" i="1"/>
  <c r="A152" i="1"/>
  <c r="AP151" i="1"/>
  <c r="AO151" i="1"/>
  <c r="AR151" i="1" s="1"/>
  <c r="AL151" i="1"/>
  <c r="AK151" i="1"/>
  <c r="AN151" i="1" s="1"/>
  <c r="AE151" i="1"/>
  <c r="AC151" i="1"/>
  <c r="AB151" i="1"/>
  <c r="AA151" i="1"/>
  <c r="Y151" i="1"/>
  <c r="X151" i="1"/>
  <c r="T151" i="1"/>
  <c r="S151" i="1"/>
  <c r="R151" i="1"/>
  <c r="Q151" i="1"/>
  <c r="P151" i="1"/>
  <c r="O151" i="1"/>
  <c r="N151" i="1"/>
  <c r="M151" i="1"/>
  <c r="U151" i="1" s="1"/>
  <c r="L151" i="1"/>
  <c r="F151" i="1"/>
  <c r="G151" i="1" s="1"/>
  <c r="E151" i="1"/>
  <c r="C151" i="1"/>
  <c r="B151" i="1"/>
  <c r="A151" i="1"/>
  <c r="AP150" i="1"/>
  <c r="AO150" i="1"/>
  <c r="AR150" i="1" s="1"/>
  <c r="AL150" i="1"/>
  <c r="AK150" i="1"/>
  <c r="AN150" i="1" s="1"/>
  <c r="AE150" i="1"/>
  <c r="AC150" i="1"/>
  <c r="AB150" i="1"/>
  <c r="AA150" i="1"/>
  <c r="Y150" i="1"/>
  <c r="X150" i="1"/>
  <c r="T150" i="1"/>
  <c r="S150" i="1"/>
  <c r="R150" i="1"/>
  <c r="Q150" i="1"/>
  <c r="P150" i="1"/>
  <c r="O150" i="1"/>
  <c r="N150" i="1"/>
  <c r="M150" i="1"/>
  <c r="U150" i="1" s="1"/>
  <c r="L150" i="1"/>
  <c r="F150" i="1"/>
  <c r="G150" i="1" s="1"/>
  <c r="E150" i="1"/>
  <c r="C150" i="1"/>
  <c r="B150" i="1"/>
  <c r="A150" i="1"/>
  <c r="AQ149" i="1"/>
  <c r="AR149" i="1" s="1"/>
  <c r="AP149" i="1"/>
  <c r="AO149" i="1"/>
  <c r="AM149" i="1"/>
  <c r="AN149" i="1" s="1"/>
  <c r="AL149" i="1"/>
  <c r="AK149" i="1"/>
  <c r="AE149" i="1"/>
  <c r="AC149" i="1"/>
  <c r="AB149" i="1"/>
  <c r="AA149" i="1"/>
  <c r="Y149" i="1"/>
  <c r="X149" i="1"/>
  <c r="T149" i="1"/>
  <c r="S149" i="1"/>
  <c r="R149" i="1"/>
  <c r="Q149" i="1"/>
  <c r="P149" i="1"/>
  <c r="O149" i="1"/>
  <c r="N149" i="1"/>
  <c r="M149" i="1"/>
  <c r="U149" i="1" s="1"/>
  <c r="L149" i="1"/>
  <c r="F149" i="1"/>
  <c r="G149" i="1" s="1"/>
  <c r="E149" i="1"/>
  <c r="C149" i="1"/>
  <c r="B149" i="1"/>
  <c r="A149" i="1"/>
  <c r="AP148" i="1"/>
  <c r="AO148" i="1"/>
  <c r="AL148" i="1"/>
  <c r="AK148" i="1"/>
  <c r="AE148" i="1"/>
  <c r="AC148" i="1"/>
  <c r="AB148" i="1"/>
  <c r="AA148" i="1"/>
  <c r="Y148" i="1"/>
  <c r="X148" i="1"/>
  <c r="T148" i="1"/>
  <c r="S148" i="1"/>
  <c r="R148" i="1"/>
  <c r="Q148" i="1"/>
  <c r="P148" i="1"/>
  <c r="O148" i="1"/>
  <c r="N148" i="1"/>
  <c r="M148" i="1"/>
  <c r="U148" i="1" s="1"/>
  <c r="K148" i="1"/>
  <c r="L148" i="1" s="1"/>
  <c r="F148" i="1"/>
  <c r="G148" i="1" s="1"/>
  <c r="E148" i="1"/>
  <c r="C148" i="1"/>
  <c r="B148" i="1"/>
  <c r="A148" i="1"/>
  <c r="AP147" i="1"/>
  <c r="AO147" i="1"/>
  <c r="AR147" i="1" s="1"/>
  <c r="AL147" i="1"/>
  <c r="AK147" i="1"/>
  <c r="AN147" i="1" s="1"/>
  <c r="AE147" i="1"/>
  <c r="AC147" i="1"/>
  <c r="AB147" i="1"/>
  <c r="AA147" i="1"/>
  <c r="Y147" i="1"/>
  <c r="X147" i="1"/>
  <c r="T147" i="1"/>
  <c r="S147" i="1"/>
  <c r="R147" i="1"/>
  <c r="Q147" i="1"/>
  <c r="P147" i="1"/>
  <c r="O147" i="1"/>
  <c r="N147" i="1"/>
  <c r="M147" i="1"/>
  <c r="U147" i="1" s="1"/>
  <c r="L147" i="1"/>
  <c r="F147" i="1"/>
  <c r="G147" i="1" s="1"/>
  <c r="E147" i="1"/>
  <c r="C147" i="1"/>
  <c r="B147" i="1"/>
  <c r="A147" i="1"/>
  <c r="AP146" i="1"/>
  <c r="AO146" i="1"/>
  <c r="AR146" i="1" s="1"/>
  <c r="AL146" i="1"/>
  <c r="AK146" i="1"/>
  <c r="AN146" i="1" s="1"/>
  <c r="AE146" i="1"/>
  <c r="AC146" i="1"/>
  <c r="AB146" i="1"/>
  <c r="AA146" i="1"/>
  <c r="Y146" i="1"/>
  <c r="X146" i="1"/>
  <c r="T146" i="1"/>
  <c r="S146" i="1"/>
  <c r="R146" i="1"/>
  <c r="Q146" i="1"/>
  <c r="P146" i="1"/>
  <c r="O146" i="1"/>
  <c r="N146" i="1"/>
  <c r="M146" i="1"/>
  <c r="U146" i="1" s="1"/>
  <c r="L146" i="1"/>
  <c r="F146" i="1"/>
  <c r="G146" i="1" s="1"/>
  <c r="E146" i="1"/>
  <c r="C146" i="1"/>
  <c r="B146" i="1"/>
  <c r="A146" i="1"/>
  <c r="AP145" i="1"/>
  <c r="AO145" i="1"/>
  <c r="AR145" i="1" s="1"/>
  <c r="AL145" i="1"/>
  <c r="AK145" i="1"/>
  <c r="AN145" i="1" s="1"/>
  <c r="AE145" i="1"/>
  <c r="AC145" i="1"/>
  <c r="AB145" i="1"/>
  <c r="AA145" i="1"/>
  <c r="Y145" i="1"/>
  <c r="X145" i="1"/>
  <c r="T145" i="1"/>
  <c r="S145" i="1"/>
  <c r="R145" i="1"/>
  <c r="Q145" i="1"/>
  <c r="P145" i="1"/>
  <c r="O145" i="1"/>
  <c r="N145" i="1"/>
  <c r="M145" i="1"/>
  <c r="U145" i="1" s="1"/>
  <c r="L145" i="1"/>
  <c r="F145" i="1"/>
  <c r="G145" i="1" s="1"/>
  <c r="E145" i="1"/>
  <c r="C145" i="1"/>
  <c r="B145" i="1"/>
  <c r="A145" i="1"/>
  <c r="AP144" i="1"/>
  <c r="AO144" i="1"/>
  <c r="AL144" i="1"/>
  <c r="AK144" i="1"/>
  <c r="AE144" i="1"/>
  <c r="AC144" i="1"/>
  <c r="AB144" i="1"/>
  <c r="AA144" i="1"/>
  <c r="Y144" i="1"/>
  <c r="X144" i="1"/>
  <c r="T144" i="1"/>
  <c r="S144" i="1"/>
  <c r="R144" i="1"/>
  <c r="Q144" i="1"/>
  <c r="P144" i="1"/>
  <c r="O144" i="1"/>
  <c r="N144" i="1"/>
  <c r="M144" i="1"/>
  <c r="U144" i="1" s="1"/>
  <c r="K144" i="1"/>
  <c r="L144" i="1" s="1"/>
  <c r="F144" i="1"/>
  <c r="E144" i="1"/>
  <c r="C144" i="1"/>
  <c r="B144" i="1"/>
  <c r="AP143" i="1"/>
  <c r="AO143" i="1"/>
  <c r="AR143" i="1" s="1"/>
  <c r="AL143" i="1"/>
  <c r="AK143" i="1"/>
  <c r="AN143" i="1" s="1"/>
  <c r="AE143" i="1"/>
  <c r="AC143" i="1"/>
  <c r="AB143" i="1"/>
  <c r="AA143" i="1"/>
  <c r="Y143" i="1"/>
  <c r="X143" i="1"/>
  <c r="T143" i="1"/>
  <c r="S143" i="1"/>
  <c r="R143" i="1"/>
  <c r="Q143" i="1"/>
  <c r="P143" i="1"/>
  <c r="O143" i="1"/>
  <c r="N143" i="1"/>
  <c r="M143" i="1"/>
  <c r="U143" i="1" s="1"/>
  <c r="L143" i="1"/>
  <c r="F143" i="1"/>
  <c r="G143" i="1" s="1"/>
  <c r="E143" i="1"/>
  <c r="C143" i="1"/>
  <c r="B143" i="1"/>
  <c r="A143" i="1"/>
  <c r="AQ142" i="1"/>
  <c r="AR142" i="1" s="1"/>
  <c r="AP142" i="1"/>
  <c r="AO142" i="1"/>
  <c r="AM142" i="1"/>
  <c r="AN142" i="1" s="1"/>
  <c r="AL142" i="1"/>
  <c r="AK142" i="1"/>
  <c r="AE142" i="1"/>
  <c r="AC142" i="1"/>
  <c r="AB142" i="1"/>
  <c r="AA142" i="1"/>
  <c r="Y142" i="1"/>
  <c r="X142" i="1"/>
  <c r="T142" i="1"/>
  <c r="S142" i="1"/>
  <c r="R142" i="1"/>
  <c r="Q142" i="1"/>
  <c r="P142" i="1"/>
  <c r="O142" i="1"/>
  <c r="N142" i="1"/>
  <c r="M142" i="1"/>
  <c r="U142" i="1" s="1"/>
  <c r="L142" i="1"/>
  <c r="F142" i="1"/>
  <c r="G142" i="1" s="1"/>
  <c r="E142" i="1"/>
  <c r="C142" i="1"/>
  <c r="B142" i="1"/>
  <c r="A142" i="1"/>
  <c r="AP141" i="1"/>
  <c r="AO141" i="1"/>
  <c r="AL141" i="1"/>
  <c r="AK141" i="1"/>
  <c r="AE141" i="1"/>
  <c r="AC141" i="1"/>
  <c r="AB141" i="1"/>
  <c r="AA141" i="1"/>
  <c r="Y141" i="1"/>
  <c r="X141" i="1"/>
  <c r="T141" i="1"/>
  <c r="S141" i="1"/>
  <c r="R141" i="1"/>
  <c r="Q141" i="1"/>
  <c r="P141" i="1"/>
  <c r="O141" i="1"/>
  <c r="N141" i="1"/>
  <c r="M141" i="1"/>
  <c r="U141" i="1" s="1"/>
  <c r="K141" i="1"/>
  <c r="L141" i="1" s="1"/>
  <c r="F141" i="1"/>
  <c r="G141" i="1" s="1"/>
  <c r="E141" i="1"/>
  <c r="C141" i="1"/>
  <c r="B141" i="1"/>
  <c r="A141" i="1"/>
  <c r="AP140" i="1"/>
  <c r="AO140" i="1"/>
  <c r="AR140" i="1" s="1"/>
  <c r="AL140" i="1"/>
  <c r="AK140" i="1"/>
  <c r="AN140" i="1" s="1"/>
  <c r="AE140" i="1"/>
  <c r="AC140" i="1"/>
  <c r="AB140" i="1"/>
  <c r="AA140" i="1"/>
  <c r="Y140" i="1"/>
  <c r="X140" i="1"/>
  <c r="T140" i="1"/>
  <c r="S140" i="1"/>
  <c r="R140" i="1"/>
  <c r="Q140" i="1"/>
  <c r="P140" i="1"/>
  <c r="O140" i="1"/>
  <c r="N140" i="1"/>
  <c r="M140" i="1"/>
  <c r="U140" i="1" s="1"/>
  <c r="L140" i="1"/>
  <c r="F140" i="1"/>
  <c r="G140" i="1" s="1"/>
  <c r="E140" i="1"/>
  <c r="C140" i="1"/>
  <c r="B140" i="1"/>
  <c r="A140" i="1"/>
  <c r="AP139" i="1"/>
  <c r="AO139" i="1"/>
  <c r="AR139" i="1" s="1"/>
  <c r="AL139" i="1"/>
  <c r="AK139" i="1"/>
  <c r="AN139" i="1" s="1"/>
  <c r="AE139" i="1"/>
  <c r="AC139" i="1"/>
  <c r="AB139" i="1"/>
  <c r="AA139" i="1"/>
  <c r="Y139" i="1"/>
  <c r="X139" i="1"/>
  <c r="T139" i="1"/>
  <c r="S139" i="1"/>
  <c r="R139" i="1"/>
  <c r="Q139" i="1"/>
  <c r="P139" i="1"/>
  <c r="O139" i="1"/>
  <c r="N139" i="1"/>
  <c r="M139" i="1"/>
  <c r="U139" i="1" s="1"/>
  <c r="L139" i="1"/>
  <c r="F139" i="1"/>
  <c r="G139" i="1" s="1"/>
  <c r="E139" i="1"/>
  <c r="C139" i="1"/>
  <c r="B139" i="1"/>
  <c r="A139" i="1"/>
  <c r="AP138" i="1"/>
  <c r="AO138" i="1"/>
  <c r="AR138" i="1" s="1"/>
  <c r="AL138" i="1"/>
  <c r="AK138" i="1"/>
  <c r="AN138" i="1" s="1"/>
  <c r="AE138" i="1"/>
  <c r="AC138" i="1"/>
  <c r="AB138" i="1"/>
  <c r="AA138" i="1"/>
  <c r="Y138" i="1"/>
  <c r="X138" i="1"/>
  <c r="T138" i="1"/>
  <c r="S138" i="1"/>
  <c r="R138" i="1"/>
  <c r="Q138" i="1"/>
  <c r="P138" i="1"/>
  <c r="O138" i="1"/>
  <c r="N138" i="1"/>
  <c r="M138" i="1"/>
  <c r="U138" i="1" s="1"/>
  <c r="L138" i="1"/>
  <c r="F138" i="1"/>
  <c r="G138" i="1" s="1"/>
  <c r="E138" i="1"/>
  <c r="C138" i="1"/>
  <c r="B138" i="1"/>
  <c r="A138" i="1"/>
  <c r="AP137" i="1"/>
  <c r="AO137" i="1"/>
  <c r="AR137" i="1" s="1"/>
  <c r="AL137" i="1"/>
  <c r="AK137" i="1"/>
  <c r="AN137" i="1" s="1"/>
  <c r="AE137" i="1"/>
  <c r="AC137" i="1"/>
  <c r="AB137" i="1"/>
  <c r="AA137" i="1"/>
  <c r="Y137" i="1"/>
  <c r="X137" i="1"/>
  <c r="T137" i="1"/>
  <c r="S137" i="1"/>
  <c r="R137" i="1"/>
  <c r="Q137" i="1"/>
  <c r="P137" i="1"/>
  <c r="O137" i="1"/>
  <c r="N137" i="1"/>
  <c r="M137" i="1"/>
  <c r="U137" i="1" s="1"/>
  <c r="L137" i="1"/>
  <c r="F137" i="1"/>
  <c r="G137" i="1" s="1"/>
  <c r="E137" i="1"/>
  <c r="C137" i="1"/>
  <c r="B137" i="1"/>
  <c r="A137" i="1"/>
  <c r="AP136" i="1"/>
  <c r="AO136" i="1"/>
  <c r="AL136" i="1"/>
  <c r="AK136" i="1"/>
  <c r="AE136" i="1"/>
  <c r="AC136" i="1"/>
  <c r="AB136" i="1"/>
  <c r="AA136" i="1"/>
  <c r="Y136" i="1"/>
  <c r="X136" i="1"/>
  <c r="T136" i="1"/>
  <c r="S136" i="1"/>
  <c r="R136" i="1"/>
  <c r="Q136" i="1"/>
  <c r="P136" i="1"/>
  <c r="O136" i="1"/>
  <c r="N136" i="1"/>
  <c r="M136" i="1"/>
  <c r="U136" i="1" s="1"/>
  <c r="K136" i="1"/>
  <c r="L136" i="1" s="1"/>
  <c r="F136" i="1"/>
  <c r="G136" i="1" s="1"/>
  <c r="E136" i="1"/>
  <c r="C136" i="1"/>
  <c r="B136" i="1"/>
  <c r="A136" i="1"/>
  <c r="AP135" i="1"/>
  <c r="AO135" i="1"/>
  <c r="AR135" i="1" s="1"/>
  <c r="AL135" i="1"/>
  <c r="AK135" i="1"/>
  <c r="AN135" i="1" s="1"/>
  <c r="AE135" i="1"/>
  <c r="AC135" i="1"/>
  <c r="AB135" i="1"/>
  <c r="AA135" i="1"/>
  <c r="Y135" i="1"/>
  <c r="X135" i="1"/>
  <c r="T135" i="1"/>
  <c r="S135" i="1"/>
  <c r="R135" i="1"/>
  <c r="Q135" i="1"/>
  <c r="P135" i="1"/>
  <c r="O135" i="1"/>
  <c r="N135" i="1"/>
  <c r="M135" i="1"/>
  <c r="U135" i="1" s="1"/>
  <c r="L135" i="1"/>
  <c r="F135" i="1"/>
  <c r="G135" i="1" s="1"/>
  <c r="E135" i="1"/>
  <c r="C135" i="1"/>
  <c r="B135" i="1"/>
  <c r="A135" i="1"/>
  <c r="AQ134" i="1"/>
  <c r="AR134" i="1" s="1"/>
  <c r="AP134" i="1"/>
  <c r="AO134" i="1"/>
  <c r="AM134" i="1"/>
  <c r="AN134" i="1" s="1"/>
  <c r="AL134" i="1"/>
  <c r="AK134" i="1"/>
  <c r="AE134" i="1"/>
  <c r="AC134" i="1"/>
  <c r="AB134" i="1"/>
  <c r="AA134" i="1"/>
  <c r="Y134" i="1"/>
  <c r="X134" i="1"/>
  <c r="T134" i="1"/>
  <c r="S134" i="1"/>
  <c r="R134" i="1"/>
  <c r="Q134" i="1"/>
  <c r="P134" i="1"/>
  <c r="O134" i="1"/>
  <c r="N134" i="1"/>
  <c r="M134" i="1"/>
  <c r="U134" i="1" s="1"/>
  <c r="L134" i="1"/>
  <c r="F134" i="1"/>
  <c r="G134" i="1" s="1"/>
  <c r="E134" i="1"/>
  <c r="C134" i="1"/>
  <c r="B134" i="1"/>
  <c r="A134" i="1"/>
  <c r="AP133" i="1"/>
  <c r="AO133" i="1"/>
  <c r="AL133" i="1"/>
  <c r="AK133" i="1"/>
  <c r="AE133" i="1"/>
  <c r="AC133" i="1"/>
  <c r="AB133" i="1"/>
  <c r="AA133" i="1"/>
  <c r="Y133" i="1"/>
  <c r="X133" i="1"/>
  <c r="T133" i="1"/>
  <c r="S133" i="1"/>
  <c r="R133" i="1"/>
  <c r="Q133" i="1"/>
  <c r="P133" i="1"/>
  <c r="O133" i="1"/>
  <c r="N133" i="1"/>
  <c r="M133" i="1"/>
  <c r="U133" i="1" s="1"/>
  <c r="K133" i="1"/>
  <c r="L133" i="1" s="1"/>
  <c r="F133" i="1"/>
  <c r="G133" i="1" s="1"/>
  <c r="E133" i="1"/>
  <c r="C133" i="1"/>
  <c r="B133" i="1"/>
  <c r="A133" i="1"/>
  <c r="AQ132" i="1"/>
  <c r="AR132" i="1" s="1"/>
  <c r="AP132" i="1"/>
  <c r="AO132" i="1"/>
  <c r="AM132" i="1"/>
  <c r="AN132" i="1" s="1"/>
  <c r="AL132" i="1"/>
  <c r="AK132" i="1"/>
  <c r="AE132" i="1"/>
  <c r="AC132" i="1"/>
  <c r="AB132" i="1"/>
  <c r="AA132" i="1"/>
  <c r="Y132" i="1"/>
  <c r="X132" i="1"/>
  <c r="T132" i="1"/>
  <c r="S132" i="1"/>
  <c r="R132" i="1"/>
  <c r="Q132" i="1"/>
  <c r="P132" i="1"/>
  <c r="O132" i="1"/>
  <c r="N132" i="1"/>
  <c r="M132" i="1"/>
  <c r="U132" i="1" s="1"/>
  <c r="L132" i="1"/>
  <c r="F132" i="1"/>
  <c r="G132" i="1" s="1"/>
  <c r="E132" i="1"/>
  <c r="C132" i="1"/>
  <c r="B132" i="1"/>
  <c r="A132" i="1"/>
  <c r="AP131" i="1"/>
  <c r="AO131" i="1"/>
  <c r="AR131" i="1" s="1"/>
  <c r="AL131" i="1"/>
  <c r="AK131" i="1"/>
  <c r="AN131" i="1" s="1"/>
  <c r="AE131" i="1"/>
  <c r="AC131" i="1"/>
  <c r="AB131" i="1"/>
  <c r="AA131" i="1"/>
  <c r="Y131" i="1"/>
  <c r="X131" i="1"/>
  <c r="T131" i="1"/>
  <c r="S131" i="1"/>
  <c r="R131" i="1"/>
  <c r="Q131" i="1"/>
  <c r="P131" i="1"/>
  <c r="O131" i="1"/>
  <c r="N131" i="1"/>
  <c r="M131" i="1"/>
  <c r="U131" i="1" s="1"/>
  <c r="L131" i="1"/>
  <c r="F131" i="1"/>
  <c r="G131" i="1" s="1"/>
  <c r="E131" i="1"/>
  <c r="C131" i="1"/>
  <c r="B131" i="1"/>
  <c r="A131" i="1"/>
  <c r="AQ130" i="1"/>
  <c r="AR130" i="1" s="1"/>
  <c r="AP130" i="1"/>
  <c r="AO130" i="1"/>
  <c r="AM130" i="1"/>
  <c r="AN130" i="1" s="1"/>
  <c r="AL130" i="1"/>
  <c r="AK130" i="1"/>
  <c r="AE130" i="1"/>
  <c r="AC130" i="1"/>
  <c r="AB130" i="1"/>
  <c r="AA130" i="1"/>
  <c r="Y130" i="1"/>
  <c r="X130" i="1"/>
  <c r="T130" i="1"/>
  <c r="S130" i="1"/>
  <c r="R130" i="1"/>
  <c r="Q130" i="1"/>
  <c r="P130" i="1"/>
  <c r="O130" i="1"/>
  <c r="N130" i="1"/>
  <c r="M130" i="1"/>
  <c r="U130" i="1" s="1"/>
  <c r="L130" i="1"/>
  <c r="G130" i="1"/>
  <c r="E130" i="1"/>
  <c r="C130" i="1"/>
  <c r="B130" i="1"/>
  <c r="A130" i="1"/>
  <c r="AQ129" i="1"/>
  <c r="AR129" i="1" s="1"/>
  <c r="AP129" i="1"/>
  <c r="AO129" i="1"/>
  <c r="AM129" i="1"/>
  <c r="AN129" i="1" s="1"/>
  <c r="AL129" i="1"/>
  <c r="AK129" i="1"/>
  <c r="AE129" i="1"/>
  <c r="AC129" i="1"/>
  <c r="AB129" i="1"/>
  <c r="AA129" i="1"/>
  <c r="Y129" i="1"/>
  <c r="X129" i="1"/>
  <c r="T129" i="1"/>
  <c r="S129" i="1"/>
  <c r="R129" i="1"/>
  <c r="Q129" i="1"/>
  <c r="P129" i="1"/>
  <c r="O129" i="1"/>
  <c r="N129" i="1"/>
  <c r="M129" i="1"/>
  <c r="U129" i="1" s="1"/>
  <c r="L129" i="1"/>
  <c r="F129" i="1"/>
  <c r="G129" i="1" s="1"/>
  <c r="E129" i="1"/>
  <c r="C129" i="1"/>
  <c r="B129" i="1"/>
  <c r="A129" i="1"/>
  <c r="AQ128" i="1"/>
  <c r="AR128" i="1" s="1"/>
  <c r="AP128" i="1"/>
  <c r="AO128" i="1"/>
  <c r="AM128" i="1"/>
  <c r="AN128" i="1" s="1"/>
  <c r="AL128" i="1"/>
  <c r="AK128" i="1"/>
  <c r="AE128" i="1"/>
  <c r="AC128" i="1"/>
  <c r="AB128" i="1"/>
  <c r="AA128" i="1"/>
  <c r="Y128" i="1"/>
  <c r="X128" i="1"/>
  <c r="T128" i="1"/>
  <c r="S128" i="1"/>
  <c r="R128" i="1"/>
  <c r="Q128" i="1"/>
  <c r="P128" i="1"/>
  <c r="O128" i="1"/>
  <c r="N128" i="1"/>
  <c r="M128" i="1"/>
  <c r="U128" i="1" s="1"/>
  <c r="L128" i="1"/>
  <c r="F128" i="1"/>
  <c r="G128" i="1" s="1"/>
  <c r="E128" i="1"/>
  <c r="C128" i="1"/>
  <c r="B128" i="1"/>
  <c r="A128" i="1"/>
  <c r="AP127" i="1"/>
  <c r="AO127" i="1"/>
  <c r="AL127" i="1"/>
  <c r="AK127" i="1"/>
  <c r="AE127" i="1"/>
  <c r="AC127" i="1"/>
  <c r="AB127" i="1"/>
  <c r="AA127" i="1"/>
  <c r="Y127" i="1"/>
  <c r="X127" i="1"/>
  <c r="T127" i="1"/>
  <c r="S127" i="1"/>
  <c r="R127" i="1"/>
  <c r="Q127" i="1"/>
  <c r="P127" i="1"/>
  <c r="O127" i="1"/>
  <c r="N127" i="1"/>
  <c r="M127" i="1"/>
  <c r="U127" i="1" s="1"/>
  <c r="K127" i="1"/>
  <c r="L127" i="1" s="1"/>
  <c r="F127" i="1"/>
  <c r="G127" i="1" s="1"/>
  <c r="E127" i="1"/>
  <c r="C127" i="1"/>
  <c r="B127" i="1"/>
  <c r="A127" i="1"/>
  <c r="AP126" i="1"/>
  <c r="AO126" i="1"/>
  <c r="AR126" i="1" s="1"/>
  <c r="AL126" i="1"/>
  <c r="AK126" i="1"/>
  <c r="AN126" i="1" s="1"/>
  <c r="AE126" i="1"/>
  <c r="AC126" i="1"/>
  <c r="AB126" i="1"/>
  <c r="AA126" i="1"/>
  <c r="Y126" i="1"/>
  <c r="X126" i="1"/>
  <c r="T126" i="1"/>
  <c r="S126" i="1"/>
  <c r="R126" i="1"/>
  <c r="Q126" i="1"/>
  <c r="P126" i="1"/>
  <c r="O126" i="1"/>
  <c r="N126" i="1"/>
  <c r="M126" i="1"/>
  <c r="U126" i="1" s="1"/>
  <c r="L126" i="1"/>
  <c r="F126" i="1"/>
  <c r="G126" i="1" s="1"/>
  <c r="E126" i="1"/>
  <c r="C126" i="1"/>
  <c r="B126" i="1"/>
  <c r="A126" i="1"/>
  <c r="AP125" i="1"/>
  <c r="AO125" i="1"/>
  <c r="AR125" i="1" s="1"/>
  <c r="AL125" i="1"/>
  <c r="AK125" i="1"/>
  <c r="AN125" i="1" s="1"/>
  <c r="AE125" i="1"/>
  <c r="AC125" i="1"/>
  <c r="AB125" i="1"/>
  <c r="AA125" i="1"/>
  <c r="Y125" i="1"/>
  <c r="X125" i="1"/>
  <c r="T125" i="1"/>
  <c r="S125" i="1"/>
  <c r="R125" i="1"/>
  <c r="Q125" i="1"/>
  <c r="P125" i="1"/>
  <c r="O125" i="1"/>
  <c r="N125" i="1"/>
  <c r="M125" i="1"/>
  <c r="U125" i="1" s="1"/>
  <c r="L125" i="1"/>
  <c r="F125" i="1"/>
  <c r="G125" i="1" s="1"/>
  <c r="E125" i="1"/>
  <c r="C125" i="1"/>
  <c r="B125" i="1"/>
  <c r="A125" i="1"/>
  <c r="AP124" i="1"/>
  <c r="AO124" i="1"/>
  <c r="AR124" i="1" s="1"/>
  <c r="AL124" i="1"/>
  <c r="AK124" i="1"/>
  <c r="AN124" i="1" s="1"/>
  <c r="AE124" i="1"/>
  <c r="AC124" i="1"/>
  <c r="AB124" i="1"/>
  <c r="AA124" i="1"/>
  <c r="Y124" i="1"/>
  <c r="X124" i="1"/>
  <c r="T124" i="1"/>
  <c r="S124" i="1"/>
  <c r="R124" i="1"/>
  <c r="Q124" i="1"/>
  <c r="P124" i="1"/>
  <c r="O124" i="1"/>
  <c r="N124" i="1"/>
  <c r="M124" i="1"/>
  <c r="U124" i="1" s="1"/>
  <c r="L124" i="1"/>
  <c r="F124" i="1"/>
  <c r="G124" i="1" s="1"/>
  <c r="E124" i="1"/>
  <c r="C124" i="1"/>
  <c r="B124" i="1"/>
  <c r="A124" i="1"/>
  <c r="AQ123" i="1"/>
  <c r="AR123" i="1" s="1"/>
  <c r="AP123" i="1"/>
  <c r="AO123" i="1"/>
  <c r="AM123" i="1"/>
  <c r="AN123" i="1" s="1"/>
  <c r="AL123" i="1"/>
  <c r="AK123" i="1"/>
  <c r="AE123" i="1"/>
  <c r="AC123" i="1"/>
  <c r="AB123" i="1"/>
  <c r="AA123" i="1"/>
  <c r="Y123" i="1"/>
  <c r="X123" i="1"/>
  <c r="V123" i="1"/>
  <c r="T123" i="1"/>
  <c r="S123" i="1"/>
  <c r="R123" i="1"/>
  <c r="Q123" i="1"/>
  <c r="P123" i="1"/>
  <c r="O123" i="1"/>
  <c r="N123" i="1"/>
  <c r="M123" i="1"/>
  <c r="U123" i="1" s="1"/>
  <c r="L123" i="1"/>
  <c r="F123" i="1"/>
  <c r="G123" i="1" s="1"/>
  <c r="E123" i="1"/>
  <c r="C123" i="1"/>
  <c r="B123" i="1"/>
  <c r="A123" i="1"/>
  <c r="AQ122" i="1"/>
  <c r="AR122" i="1" s="1"/>
  <c r="AP122" i="1"/>
  <c r="AO122" i="1"/>
  <c r="AM122" i="1"/>
  <c r="AN122" i="1" s="1"/>
  <c r="AL122" i="1"/>
  <c r="AK122" i="1"/>
  <c r="AE122" i="1"/>
  <c r="AC122" i="1"/>
  <c r="AB122" i="1"/>
  <c r="AA122" i="1"/>
  <c r="Y122" i="1"/>
  <c r="X122" i="1"/>
  <c r="V122" i="1"/>
  <c r="T122" i="1"/>
  <c r="S122" i="1"/>
  <c r="R122" i="1"/>
  <c r="Q122" i="1"/>
  <c r="P122" i="1"/>
  <c r="O122" i="1"/>
  <c r="N122" i="1"/>
  <c r="M122" i="1"/>
  <c r="U122" i="1" s="1"/>
  <c r="L122" i="1"/>
  <c r="F122" i="1"/>
  <c r="G122" i="1" s="1"/>
  <c r="E122" i="1"/>
  <c r="C122" i="1"/>
  <c r="B122" i="1"/>
  <c r="A122" i="1"/>
  <c r="AP121" i="1"/>
  <c r="AO121" i="1"/>
  <c r="AR121" i="1" s="1"/>
  <c r="AL121" i="1"/>
  <c r="AK121" i="1"/>
  <c r="AN121" i="1" s="1"/>
  <c r="AE121" i="1"/>
  <c r="AC121" i="1"/>
  <c r="AB121" i="1"/>
  <c r="AA121" i="1"/>
  <c r="Y121" i="1"/>
  <c r="X121" i="1"/>
  <c r="V121" i="1"/>
  <c r="T121" i="1"/>
  <c r="S121" i="1"/>
  <c r="R121" i="1"/>
  <c r="Q121" i="1"/>
  <c r="P121" i="1"/>
  <c r="O121" i="1"/>
  <c r="N121" i="1"/>
  <c r="M121" i="1"/>
  <c r="U121" i="1" s="1"/>
  <c r="L121" i="1"/>
  <c r="F121" i="1"/>
  <c r="G121" i="1" s="1"/>
  <c r="E121" i="1"/>
  <c r="C121" i="1"/>
  <c r="B121" i="1"/>
  <c r="A121" i="1"/>
  <c r="AP120" i="1"/>
  <c r="AO120" i="1"/>
  <c r="AR120" i="1" s="1"/>
  <c r="AL120" i="1"/>
  <c r="AK120" i="1"/>
  <c r="AN120" i="1" s="1"/>
  <c r="AE120" i="1"/>
  <c r="AC120" i="1"/>
  <c r="AB120" i="1"/>
  <c r="AA120" i="1"/>
  <c r="Y120" i="1"/>
  <c r="X120" i="1"/>
  <c r="V120" i="1"/>
  <c r="T120" i="1"/>
  <c r="S120" i="1"/>
  <c r="R120" i="1"/>
  <c r="Q120" i="1"/>
  <c r="P120" i="1"/>
  <c r="O120" i="1"/>
  <c r="N120" i="1"/>
  <c r="M120" i="1"/>
  <c r="U120" i="1" s="1"/>
  <c r="L120" i="1"/>
  <c r="F120" i="1"/>
  <c r="G120" i="1" s="1"/>
  <c r="E120" i="1"/>
  <c r="C120" i="1"/>
  <c r="B120" i="1"/>
  <c r="A120" i="1"/>
  <c r="AP119" i="1"/>
  <c r="AO119" i="1"/>
  <c r="AR119" i="1" s="1"/>
  <c r="AL119" i="1"/>
  <c r="AK119" i="1"/>
  <c r="AN119" i="1" s="1"/>
  <c r="AE119" i="1"/>
  <c r="AC119" i="1"/>
  <c r="AB119" i="1"/>
  <c r="AA119" i="1"/>
  <c r="Y119" i="1"/>
  <c r="X119" i="1"/>
  <c r="V119" i="1"/>
  <c r="T119" i="1"/>
  <c r="S119" i="1"/>
  <c r="R119" i="1"/>
  <c r="Q119" i="1"/>
  <c r="P119" i="1"/>
  <c r="O119" i="1"/>
  <c r="N119" i="1"/>
  <c r="M119" i="1"/>
  <c r="U119" i="1" s="1"/>
  <c r="L119" i="1"/>
  <c r="F119" i="1"/>
  <c r="G119" i="1" s="1"/>
  <c r="E119" i="1"/>
  <c r="C119" i="1"/>
  <c r="B119" i="1"/>
  <c r="A119" i="1"/>
  <c r="AP118" i="1"/>
  <c r="AO118" i="1"/>
  <c r="AL118" i="1"/>
  <c r="AK118" i="1"/>
  <c r="AE118" i="1"/>
  <c r="AC118" i="1"/>
  <c r="AB118" i="1"/>
  <c r="AA118" i="1"/>
  <c r="Y118" i="1"/>
  <c r="X118" i="1"/>
  <c r="V118" i="1"/>
  <c r="T118" i="1"/>
  <c r="S118" i="1"/>
  <c r="R118" i="1"/>
  <c r="Q118" i="1"/>
  <c r="P118" i="1"/>
  <c r="O118" i="1"/>
  <c r="N118" i="1"/>
  <c r="M118" i="1"/>
  <c r="U118" i="1" s="1"/>
  <c r="K118" i="1"/>
  <c r="L118" i="1" s="1"/>
  <c r="F118" i="1"/>
  <c r="G118" i="1" s="1"/>
  <c r="E118" i="1"/>
  <c r="C118" i="1"/>
  <c r="B118" i="1"/>
  <c r="A118" i="1"/>
  <c r="AP117" i="1"/>
  <c r="AO117" i="1"/>
  <c r="AR117" i="1" s="1"/>
  <c r="AL117" i="1"/>
  <c r="AK117" i="1"/>
  <c r="AN117" i="1" s="1"/>
  <c r="AE117" i="1"/>
  <c r="AC117" i="1"/>
  <c r="AB117" i="1"/>
  <c r="AA117" i="1"/>
  <c r="Y117" i="1"/>
  <c r="X117" i="1"/>
  <c r="V117" i="1"/>
  <c r="T117" i="1"/>
  <c r="S117" i="1"/>
  <c r="R117" i="1"/>
  <c r="Q117" i="1"/>
  <c r="P117" i="1"/>
  <c r="O117" i="1"/>
  <c r="N117" i="1"/>
  <c r="M117" i="1"/>
  <c r="U117" i="1" s="1"/>
  <c r="L117" i="1"/>
  <c r="F117" i="1"/>
  <c r="G117" i="1" s="1"/>
  <c r="E117" i="1"/>
  <c r="C117" i="1"/>
  <c r="B117" i="1"/>
  <c r="A117" i="1"/>
  <c r="AQ116" i="1"/>
  <c r="AR116" i="1" s="1"/>
  <c r="AP116" i="1"/>
  <c r="AO116" i="1"/>
  <c r="AM116" i="1"/>
  <c r="AN116" i="1" s="1"/>
  <c r="AL116" i="1"/>
  <c r="AK116" i="1"/>
  <c r="AE116" i="1"/>
  <c r="AC116" i="1"/>
  <c r="AB116" i="1"/>
  <c r="AA116" i="1"/>
  <c r="Y116" i="1"/>
  <c r="X116" i="1"/>
  <c r="V116" i="1"/>
  <c r="T116" i="1"/>
  <c r="S116" i="1"/>
  <c r="R116" i="1"/>
  <c r="Q116" i="1"/>
  <c r="P116" i="1"/>
  <c r="O116" i="1"/>
  <c r="N116" i="1"/>
  <c r="M116" i="1"/>
  <c r="U116" i="1" s="1"/>
  <c r="L116" i="1"/>
  <c r="F116" i="1"/>
  <c r="G116" i="1" s="1"/>
  <c r="E116" i="1"/>
  <c r="C116" i="1"/>
  <c r="B116" i="1"/>
  <c r="A116" i="1"/>
  <c r="AP115" i="1"/>
  <c r="AO115" i="1"/>
  <c r="AR115" i="1" s="1"/>
  <c r="AL115" i="1"/>
  <c r="AK115" i="1"/>
  <c r="AN115" i="1" s="1"/>
  <c r="AE115" i="1"/>
  <c r="AC115" i="1"/>
  <c r="AB115" i="1"/>
  <c r="AA115" i="1"/>
  <c r="Y115" i="1"/>
  <c r="X115" i="1"/>
  <c r="V115" i="1"/>
  <c r="T115" i="1"/>
  <c r="S115" i="1"/>
  <c r="R115" i="1"/>
  <c r="Q115" i="1"/>
  <c r="P115" i="1"/>
  <c r="O115" i="1"/>
  <c r="N115" i="1"/>
  <c r="M115" i="1"/>
  <c r="U115" i="1" s="1"/>
  <c r="L115" i="1"/>
  <c r="F115" i="1"/>
  <c r="G115" i="1" s="1"/>
  <c r="E115" i="1"/>
  <c r="C115" i="1"/>
  <c r="B115" i="1"/>
  <c r="A115" i="1"/>
  <c r="AQ114" i="1"/>
  <c r="AR114" i="1" s="1"/>
  <c r="AP114" i="1"/>
  <c r="AO114" i="1"/>
  <c r="AM114" i="1"/>
  <c r="AN114" i="1" s="1"/>
  <c r="AL114" i="1"/>
  <c r="AK114" i="1"/>
  <c r="AE114" i="1"/>
  <c r="AC114" i="1"/>
  <c r="AB114" i="1"/>
  <c r="AA114" i="1"/>
  <c r="Y114" i="1"/>
  <c r="X114" i="1"/>
  <c r="V114" i="1"/>
  <c r="T114" i="1"/>
  <c r="S114" i="1"/>
  <c r="R114" i="1"/>
  <c r="Q114" i="1"/>
  <c r="P114" i="1"/>
  <c r="O114" i="1"/>
  <c r="N114" i="1"/>
  <c r="M114" i="1"/>
  <c r="U114" i="1" s="1"/>
  <c r="L114" i="1"/>
  <c r="F114" i="1"/>
  <c r="G114" i="1" s="1"/>
  <c r="E114" i="1"/>
  <c r="C114" i="1"/>
  <c r="B114" i="1"/>
  <c r="A114" i="1"/>
  <c r="AQ113" i="1"/>
  <c r="AR113" i="1" s="1"/>
  <c r="AP113" i="1"/>
  <c r="AO113" i="1"/>
  <c r="AM113" i="1"/>
  <c r="AN113" i="1" s="1"/>
  <c r="AL113" i="1"/>
  <c r="AK113" i="1"/>
  <c r="AE113" i="1"/>
  <c r="AC113" i="1"/>
  <c r="AB113" i="1"/>
  <c r="AA113" i="1"/>
  <c r="Y113" i="1"/>
  <c r="X113" i="1"/>
  <c r="V113" i="1"/>
  <c r="T113" i="1"/>
  <c r="S113" i="1"/>
  <c r="R113" i="1"/>
  <c r="Q113" i="1"/>
  <c r="P113" i="1"/>
  <c r="O113" i="1"/>
  <c r="N113" i="1"/>
  <c r="M113" i="1"/>
  <c r="U113" i="1" s="1"/>
  <c r="L113" i="1"/>
  <c r="F113" i="1"/>
  <c r="G113" i="1" s="1"/>
  <c r="E113" i="1"/>
  <c r="C113" i="1"/>
  <c r="B113" i="1"/>
  <c r="A113" i="1"/>
  <c r="AP112" i="1"/>
  <c r="AO112" i="1"/>
  <c r="AR112" i="1" s="1"/>
  <c r="AL112" i="1"/>
  <c r="AK112" i="1"/>
  <c r="AN112" i="1" s="1"/>
  <c r="AE112" i="1"/>
  <c r="AC112" i="1"/>
  <c r="AB112" i="1"/>
  <c r="AA112" i="1"/>
  <c r="Y112" i="1"/>
  <c r="X112" i="1"/>
  <c r="V112" i="1"/>
  <c r="T112" i="1"/>
  <c r="S112" i="1"/>
  <c r="R112" i="1"/>
  <c r="Q112" i="1"/>
  <c r="P112" i="1"/>
  <c r="O112" i="1"/>
  <c r="N112" i="1"/>
  <c r="M112" i="1"/>
  <c r="U112" i="1" s="1"/>
  <c r="L112" i="1"/>
  <c r="F112" i="1"/>
  <c r="G112" i="1" s="1"/>
  <c r="E112" i="1"/>
  <c r="C112" i="1"/>
  <c r="B112" i="1"/>
  <c r="A112" i="1"/>
  <c r="AQ111" i="1"/>
  <c r="AR111" i="1" s="1"/>
  <c r="AP111" i="1"/>
  <c r="AO111" i="1"/>
  <c r="AM111" i="1"/>
  <c r="AN111" i="1" s="1"/>
  <c r="AL111" i="1"/>
  <c r="AK111" i="1"/>
  <c r="AE111" i="1"/>
  <c r="AC111" i="1"/>
  <c r="AB111" i="1"/>
  <c r="AA111" i="1"/>
  <c r="Y111" i="1"/>
  <c r="X111" i="1"/>
  <c r="V111" i="1"/>
  <c r="T111" i="1"/>
  <c r="S111" i="1"/>
  <c r="R111" i="1"/>
  <c r="Q111" i="1"/>
  <c r="P111" i="1"/>
  <c r="O111" i="1"/>
  <c r="N111" i="1"/>
  <c r="M111" i="1"/>
  <c r="U111" i="1" s="1"/>
  <c r="L111" i="1"/>
  <c r="F111" i="1"/>
  <c r="G111" i="1" s="1"/>
  <c r="E111" i="1"/>
  <c r="C111" i="1"/>
  <c r="B111" i="1"/>
  <c r="A111" i="1"/>
  <c r="AP110" i="1"/>
  <c r="AO110" i="1"/>
  <c r="AL110" i="1"/>
  <c r="AK110" i="1"/>
  <c r="AE110" i="1"/>
  <c r="AC110" i="1"/>
  <c r="AB110" i="1"/>
  <c r="AA110" i="1"/>
  <c r="Y110" i="1"/>
  <c r="X110" i="1"/>
  <c r="V110" i="1"/>
  <c r="T110" i="1"/>
  <c r="S110" i="1"/>
  <c r="R110" i="1"/>
  <c r="Q110" i="1"/>
  <c r="P110" i="1"/>
  <c r="O110" i="1"/>
  <c r="N110" i="1"/>
  <c r="M110" i="1"/>
  <c r="U110" i="1" s="1"/>
  <c r="K110" i="1"/>
  <c r="L110" i="1" s="1"/>
  <c r="F110" i="1"/>
  <c r="G110" i="1" s="1"/>
  <c r="E110" i="1"/>
  <c r="C110" i="1"/>
  <c r="B110" i="1"/>
  <c r="A110" i="1"/>
  <c r="AP109" i="1"/>
  <c r="AO109" i="1"/>
  <c r="AR109" i="1" s="1"/>
  <c r="AL109" i="1"/>
  <c r="AK109" i="1"/>
  <c r="AN109" i="1" s="1"/>
  <c r="AE109" i="1"/>
  <c r="AC109" i="1"/>
  <c r="AB109" i="1"/>
  <c r="AA109" i="1"/>
  <c r="Y109" i="1"/>
  <c r="X109" i="1"/>
  <c r="V109" i="1"/>
  <c r="T109" i="1"/>
  <c r="S109" i="1"/>
  <c r="R109" i="1"/>
  <c r="Q109" i="1"/>
  <c r="P109" i="1"/>
  <c r="O109" i="1"/>
  <c r="N109" i="1"/>
  <c r="M109" i="1"/>
  <c r="U109" i="1" s="1"/>
  <c r="L109" i="1"/>
  <c r="F109" i="1"/>
  <c r="G109" i="1" s="1"/>
  <c r="E109" i="1"/>
  <c r="C109" i="1"/>
  <c r="B109" i="1"/>
  <c r="A109" i="1"/>
  <c r="AP108" i="1"/>
  <c r="AO108" i="1"/>
  <c r="AR108" i="1" s="1"/>
  <c r="AL108" i="1"/>
  <c r="AK108" i="1"/>
  <c r="AN108" i="1" s="1"/>
  <c r="AE108" i="1"/>
  <c r="AC108" i="1"/>
  <c r="AB108" i="1"/>
  <c r="AA108" i="1"/>
  <c r="Y108" i="1"/>
  <c r="X108" i="1"/>
  <c r="V108" i="1"/>
  <c r="T108" i="1"/>
  <c r="S108" i="1"/>
  <c r="R108" i="1"/>
  <c r="Q108" i="1"/>
  <c r="P108" i="1"/>
  <c r="O108" i="1"/>
  <c r="N108" i="1"/>
  <c r="M108" i="1"/>
  <c r="U108" i="1" s="1"/>
  <c r="L108" i="1"/>
  <c r="F108" i="1"/>
  <c r="G108" i="1" s="1"/>
  <c r="E108" i="1"/>
  <c r="C108" i="1"/>
  <c r="B108" i="1"/>
  <c r="A108" i="1"/>
  <c r="AQ107" i="1"/>
  <c r="AR107" i="1" s="1"/>
  <c r="AP107" i="1"/>
  <c r="AO107" i="1"/>
  <c r="AM107" i="1"/>
  <c r="AN107" i="1" s="1"/>
  <c r="AL107" i="1"/>
  <c r="AK107" i="1"/>
  <c r="AE107" i="1"/>
  <c r="AC107" i="1"/>
  <c r="AB107" i="1"/>
  <c r="AA107" i="1"/>
  <c r="Y107" i="1"/>
  <c r="X107" i="1"/>
  <c r="V107" i="1"/>
  <c r="T107" i="1"/>
  <c r="S107" i="1"/>
  <c r="R107" i="1"/>
  <c r="Q107" i="1"/>
  <c r="P107" i="1"/>
  <c r="O107" i="1"/>
  <c r="N107" i="1"/>
  <c r="M107" i="1"/>
  <c r="L107" i="1"/>
  <c r="F107" i="1"/>
  <c r="G107" i="1" s="1"/>
  <c r="E107" i="1"/>
  <c r="C107" i="1"/>
  <c r="B107" i="1"/>
  <c r="A107" i="1"/>
  <c r="AQ106" i="1"/>
  <c r="AR106" i="1" s="1"/>
  <c r="AP106" i="1"/>
  <c r="AO106" i="1"/>
  <c r="AM106" i="1"/>
  <c r="AN106" i="1" s="1"/>
  <c r="AL106" i="1"/>
  <c r="AK106" i="1"/>
  <c r="AE106" i="1"/>
  <c r="AC106" i="1"/>
  <c r="AB106" i="1"/>
  <c r="AA106" i="1"/>
  <c r="Y106" i="1"/>
  <c r="X106" i="1"/>
  <c r="V106" i="1"/>
  <c r="T106" i="1"/>
  <c r="S106" i="1"/>
  <c r="R106" i="1"/>
  <c r="Q106" i="1"/>
  <c r="P106" i="1"/>
  <c r="O106" i="1"/>
  <c r="N106" i="1"/>
  <c r="M106" i="1"/>
  <c r="U106" i="1" s="1"/>
  <c r="L106" i="1"/>
  <c r="F106" i="1"/>
  <c r="G106" i="1" s="1"/>
  <c r="E106" i="1"/>
  <c r="C106" i="1"/>
  <c r="B106" i="1"/>
  <c r="A106" i="1"/>
  <c r="AP105" i="1"/>
  <c r="AO105" i="1"/>
  <c r="AL105" i="1"/>
  <c r="AK105" i="1"/>
  <c r="AE105" i="1"/>
  <c r="AC105" i="1"/>
  <c r="AB105" i="1"/>
  <c r="AA105" i="1"/>
  <c r="Y105" i="1"/>
  <c r="X105" i="1"/>
  <c r="V105" i="1"/>
  <c r="T105" i="1"/>
  <c r="S105" i="1"/>
  <c r="R105" i="1"/>
  <c r="Q105" i="1"/>
  <c r="P105" i="1"/>
  <c r="O105" i="1"/>
  <c r="N105" i="1"/>
  <c r="M105" i="1"/>
  <c r="U105" i="1" s="1"/>
  <c r="K105" i="1"/>
  <c r="L105" i="1" s="1"/>
  <c r="F105" i="1"/>
  <c r="G105" i="1" s="1"/>
  <c r="E105" i="1"/>
  <c r="C105" i="1"/>
  <c r="B105" i="1"/>
  <c r="A105" i="1"/>
  <c r="AP104" i="1"/>
  <c r="AO104" i="1"/>
  <c r="AR104" i="1" s="1"/>
  <c r="AL104" i="1"/>
  <c r="AK104" i="1"/>
  <c r="AN104" i="1" s="1"/>
  <c r="AE104" i="1"/>
  <c r="AC104" i="1"/>
  <c r="AB104" i="1"/>
  <c r="AA104" i="1"/>
  <c r="Y104" i="1"/>
  <c r="X104" i="1"/>
  <c r="V104" i="1"/>
  <c r="T104" i="1"/>
  <c r="S104" i="1"/>
  <c r="R104" i="1"/>
  <c r="Q104" i="1"/>
  <c r="P104" i="1"/>
  <c r="O104" i="1"/>
  <c r="N104" i="1"/>
  <c r="M104" i="1"/>
  <c r="U104" i="1" s="1"/>
  <c r="L104" i="1"/>
  <c r="F104" i="1"/>
  <c r="G104" i="1" s="1"/>
  <c r="E104" i="1"/>
  <c r="C104" i="1"/>
  <c r="B104" i="1"/>
  <c r="A104" i="1"/>
  <c r="AP103" i="1"/>
  <c r="AO103" i="1"/>
  <c r="AR103" i="1" s="1"/>
  <c r="AL103" i="1"/>
  <c r="AK103" i="1"/>
  <c r="AN103" i="1" s="1"/>
  <c r="AE103" i="1"/>
  <c r="AC103" i="1"/>
  <c r="AB103" i="1"/>
  <c r="AA103" i="1"/>
  <c r="Y103" i="1"/>
  <c r="X103" i="1"/>
  <c r="V103" i="1"/>
  <c r="T103" i="1"/>
  <c r="S103" i="1"/>
  <c r="R103" i="1"/>
  <c r="Q103" i="1"/>
  <c r="P103" i="1"/>
  <c r="O103" i="1"/>
  <c r="N103" i="1"/>
  <c r="M103" i="1"/>
  <c r="U103" i="1" s="1"/>
  <c r="L103" i="1"/>
  <c r="F103" i="1"/>
  <c r="G103" i="1" s="1"/>
  <c r="E103" i="1"/>
  <c r="C103" i="1"/>
  <c r="B103" i="1"/>
  <c r="A103" i="1"/>
  <c r="AQ102" i="1"/>
  <c r="AR102" i="1" s="1"/>
  <c r="AP102" i="1"/>
  <c r="AO102" i="1"/>
  <c r="AM102" i="1"/>
  <c r="AN102" i="1" s="1"/>
  <c r="AL102" i="1"/>
  <c r="AK102" i="1"/>
  <c r="AE102" i="1"/>
  <c r="AC102" i="1"/>
  <c r="AB102" i="1"/>
  <c r="AA102" i="1"/>
  <c r="Y102" i="1"/>
  <c r="X102" i="1"/>
  <c r="V102" i="1"/>
  <c r="T102" i="1"/>
  <c r="S102" i="1"/>
  <c r="R102" i="1"/>
  <c r="Q102" i="1"/>
  <c r="P102" i="1"/>
  <c r="O102" i="1"/>
  <c r="N102" i="1"/>
  <c r="M102" i="1"/>
  <c r="U102" i="1" s="1"/>
  <c r="L102" i="1"/>
  <c r="F102" i="1"/>
  <c r="G102" i="1" s="1"/>
  <c r="E102" i="1"/>
  <c r="C102" i="1"/>
  <c r="B102" i="1"/>
  <c r="A102" i="1"/>
  <c r="AQ101" i="1"/>
  <c r="AR101" i="1" s="1"/>
  <c r="AP101" i="1"/>
  <c r="AO101" i="1"/>
  <c r="AM101" i="1"/>
  <c r="AN101" i="1" s="1"/>
  <c r="AL101" i="1"/>
  <c r="AK101" i="1"/>
  <c r="AE101" i="1"/>
  <c r="AC101" i="1"/>
  <c r="AB101" i="1"/>
  <c r="AA101" i="1"/>
  <c r="Y101" i="1"/>
  <c r="X101" i="1"/>
  <c r="V101" i="1"/>
  <c r="T101" i="1"/>
  <c r="S101" i="1"/>
  <c r="R101" i="1"/>
  <c r="Q101" i="1"/>
  <c r="P101" i="1"/>
  <c r="O101" i="1"/>
  <c r="N101" i="1"/>
  <c r="M101" i="1"/>
  <c r="U101" i="1" s="1"/>
  <c r="L101" i="1"/>
  <c r="F101" i="1"/>
  <c r="G101" i="1" s="1"/>
  <c r="E101" i="1"/>
  <c r="C101" i="1"/>
  <c r="B101" i="1"/>
  <c r="A101" i="1"/>
  <c r="AP100" i="1"/>
  <c r="AO100" i="1"/>
  <c r="AR100" i="1" s="1"/>
  <c r="AL100" i="1"/>
  <c r="AK100" i="1"/>
  <c r="AN100" i="1" s="1"/>
  <c r="AE100" i="1"/>
  <c r="AC100" i="1"/>
  <c r="AB100" i="1"/>
  <c r="AA100" i="1"/>
  <c r="Y100" i="1"/>
  <c r="X100" i="1"/>
  <c r="V100" i="1"/>
  <c r="T100" i="1"/>
  <c r="S100" i="1"/>
  <c r="R100" i="1"/>
  <c r="Q100" i="1"/>
  <c r="P100" i="1"/>
  <c r="O100" i="1"/>
  <c r="N100" i="1"/>
  <c r="M100" i="1"/>
  <c r="U100" i="1" s="1"/>
  <c r="L100" i="1"/>
  <c r="F100" i="1"/>
  <c r="G100" i="1" s="1"/>
  <c r="E100" i="1"/>
  <c r="C100" i="1"/>
  <c r="B100" i="1"/>
  <c r="A100" i="1"/>
  <c r="AQ99" i="1"/>
  <c r="AR99" i="1" s="1"/>
  <c r="AP99" i="1"/>
  <c r="AO99" i="1"/>
  <c r="AM99" i="1"/>
  <c r="AN99" i="1" s="1"/>
  <c r="AL99" i="1"/>
  <c r="AK99" i="1"/>
  <c r="AE99" i="1"/>
  <c r="AC99" i="1"/>
  <c r="AB99" i="1"/>
  <c r="AA99" i="1"/>
  <c r="Y99" i="1"/>
  <c r="X99" i="1"/>
  <c r="V99" i="1"/>
  <c r="T99" i="1"/>
  <c r="S99" i="1"/>
  <c r="R99" i="1"/>
  <c r="Q99" i="1"/>
  <c r="P99" i="1"/>
  <c r="O99" i="1"/>
  <c r="N99" i="1"/>
  <c r="M99" i="1"/>
  <c r="U99" i="1" s="1"/>
  <c r="L99" i="1"/>
  <c r="F99" i="1"/>
  <c r="G99" i="1" s="1"/>
  <c r="E99" i="1"/>
  <c r="C99" i="1"/>
  <c r="B99" i="1"/>
  <c r="A99" i="1"/>
  <c r="AQ98" i="1"/>
  <c r="AR98" i="1" s="1"/>
  <c r="AP98" i="1"/>
  <c r="AO98" i="1"/>
  <c r="AM98" i="1"/>
  <c r="AN98" i="1" s="1"/>
  <c r="AL98" i="1"/>
  <c r="AK98" i="1"/>
  <c r="AE98" i="1"/>
  <c r="AC98" i="1"/>
  <c r="AB98" i="1"/>
  <c r="AA98" i="1"/>
  <c r="Y98" i="1"/>
  <c r="X98" i="1"/>
  <c r="V98" i="1"/>
  <c r="T98" i="1"/>
  <c r="S98" i="1"/>
  <c r="R98" i="1"/>
  <c r="Q98" i="1"/>
  <c r="P98" i="1"/>
  <c r="O98" i="1"/>
  <c r="N98" i="1"/>
  <c r="M98" i="1"/>
  <c r="U98" i="1" s="1"/>
  <c r="L98" i="1"/>
  <c r="F98" i="1"/>
  <c r="G98" i="1" s="1"/>
  <c r="E98" i="1"/>
  <c r="C98" i="1"/>
  <c r="B98" i="1"/>
  <c r="A98" i="1"/>
  <c r="AP97" i="1"/>
  <c r="AO97" i="1"/>
  <c r="AR97" i="1" s="1"/>
  <c r="AL97" i="1"/>
  <c r="AK97" i="1"/>
  <c r="AN97" i="1" s="1"/>
  <c r="AE97" i="1"/>
  <c r="AC97" i="1"/>
  <c r="AB97" i="1"/>
  <c r="AA97" i="1"/>
  <c r="Y97" i="1"/>
  <c r="X97" i="1"/>
  <c r="V97" i="1"/>
  <c r="T97" i="1"/>
  <c r="S97" i="1"/>
  <c r="R97" i="1"/>
  <c r="Q97" i="1"/>
  <c r="P97" i="1"/>
  <c r="O97" i="1"/>
  <c r="N97" i="1"/>
  <c r="M97" i="1"/>
  <c r="U97" i="1" s="1"/>
  <c r="L97" i="1"/>
  <c r="F97" i="1"/>
  <c r="G97" i="1" s="1"/>
  <c r="E97" i="1"/>
  <c r="C97" i="1"/>
  <c r="B97" i="1"/>
  <c r="A97" i="1"/>
  <c r="AQ96" i="1"/>
  <c r="AR96" i="1" s="1"/>
  <c r="AP96" i="1"/>
  <c r="AO96" i="1"/>
  <c r="AM96" i="1"/>
  <c r="AN96" i="1" s="1"/>
  <c r="AL96" i="1"/>
  <c r="AK96" i="1"/>
  <c r="AE96" i="1"/>
  <c r="AC96" i="1"/>
  <c r="AB96" i="1"/>
  <c r="AA96" i="1"/>
  <c r="Y96" i="1"/>
  <c r="X96" i="1"/>
  <c r="V96" i="1"/>
  <c r="T96" i="1"/>
  <c r="S96" i="1"/>
  <c r="R96" i="1"/>
  <c r="Q96" i="1"/>
  <c r="P96" i="1"/>
  <c r="O96" i="1"/>
  <c r="N96" i="1"/>
  <c r="M96" i="1"/>
  <c r="U96" i="1" s="1"/>
  <c r="L96" i="1"/>
  <c r="F96" i="1"/>
  <c r="G96" i="1" s="1"/>
  <c r="E96" i="1"/>
  <c r="C96" i="1"/>
  <c r="B96" i="1"/>
  <c r="A96" i="1"/>
  <c r="AQ95" i="1"/>
  <c r="AR95" i="1" s="1"/>
  <c r="AP95" i="1"/>
  <c r="AO95" i="1"/>
  <c r="AM95" i="1"/>
  <c r="AN95" i="1" s="1"/>
  <c r="AL95" i="1"/>
  <c r="AK95" i="1"/>
  <c r="AE95" i="1"/>
  <c r="AC95" i="1"/>
  <c r="AB95" i="1"/>
  <c r="AA95" i="1"/>
  <c r="Y95" i="1"/>
  <c r="X95" i="1"/>
  <c r="V95" i="1"/>
  <c r="T95" i="1"/>
  <c r="S95" i="1"/>
  <c r="R95" i="1"/>
  <c r="Q95" i="1"/>
  <c r="P95" i="1"/>
  <c r="O95" i="1"/>
  <c r="N95" i="1"/>
  <c r="M95" i="1"/>
  <c r="U95" i="1" s="1"/>
  <c r="L95" i="1"/>
  <c r="F95" i="1"/>
  <c r="G95" i="1" s="1"/>
  <c r="E95" i="1"/>
  <c r="C95" i="1"/>
  <c r="B95" i="1"/>
  <c r="A95" i="1"/>
  <c r="AQ94" i="1"/>
  <c r="AR94" i="1" s="1"/>
  <c r="AP94" i="1"/>
  <c r="AO94" i="1"/>
  <c r="AM94" i="1"/>
  <c r="AN94" i="1" s="1"/>
  <c r="AL94" i="1"/>
  <c r="AK94" i="1"/>
  <c r="AE94" i="1"/>
  <c r="AC94" i="1"/>
  <c r="AB94" i="1"/>
  <c r="AA94" i="1"/>
  <c r="Y94" i="1"/>
  <c r="X94" i="1"/>
  <c r="V94" i="1"/>
  <c r="T94" i="1"/>
  <c r="S94" i="1"/>
  <c r="R94" i="1"/>
  <c r="Q94" i="1"/>
  <c r="P94" i="1"/>
  <c r="O94" i="1"/>
  <c r="N94" i="1"/>
  <c r="M94" i="1"/>
  <c r="U94" i="1" s="1"/>
  <c r="L94" i="1"/>
  <c r="F94" i="1"/>
  <c r="G94" i="1" s="1"/>
  <c r="E94" i="1"/>
  <c r="C94" i="1"/>
  <c r="B94" i="1"/>
  <c r="A94" i="1"/>
  <c r="AQ93" i="1"/>
  <c r="AR93" i="1" s="1"/>
  <c r="AP93" i="1"/>
  <c r="AO93" i="1"/>
  <c r="AM93" i="1"/>
  <c r="AN93" i="1" s="1"/>
  <c r="AL93" i="1"/>
  <c r="AK93" i="1"/>
  <c r="AE93" i="1"/>
  <c r="AC93" i="1"/>
  <c r="AB93" i="1"/>
  <c r="AA93" i="1"/>
  <c r="Y93" i="1"/>
  <c r="X93" i="1"/>
  <c r="V93" i="1"/>
  <c r="T93" i="1"/>
  <c r="S93" i="1"/>
  <c r="R93" i="1"/>
  <c r="Q93" i="1"/>
  <c r="P93" i="1"/>
  <c r="O93" i="1"/>
  <c r="N93" i="1"/>
  <c r="M93" i="1"/>
  <c r="U93" i="1" s="1"/>
  <c r="L93" i="1"/>
  <c r="F93" i="1"/>
  <c r="G93" i="1" s="1"/>
  <c r="E93" i="1"/>
  <c r="C93" i="1"/>
  <c r="B93" i="1"/>
  <c r="A93" i="1"/>
  <c r="AQ92" i="1"/>
  <c r="AR92" i="1" s="1"/>
  <c r="AP92" i="1"/>
  <c r="AO92" i="1"/>
  <c r="AM92" i="1"/>
  <c r="AN92" i="1" s="1"/>
  <c r="AL92" i="1"/>
  <c r="AK92" i="1"/>
  <c r="AE92" i="1"/>
  <c r="AC92" i="1"/>
  <c r="AB92" i="1"/>
  <c r="AA92" i="1"/>
  <c r="Y92" i="1"/>
  <c r="X92" i="1"/>
  <c r="V92" i="1"/>
  <c r="T92" i="1"/>
  <c r="S92" i="1"/>
  <c r="R92" i="1"/>
  <c r="Q92" i="1"/>
  <c r="P92" i="1"/>
  <c r="O92" i="1"/>
  <c r="N92" i="1"/>
  <c r="M92" i="1"/>
  <c r="U92" i="1" s="1"/>
  <c r="L92" i="1"/>
  <c r="F92" i="1"/>
  <c r="G92" i="1" s="1"/>
  <c r="E92" i="1"/>
  <c r="C92" i="1"/>
  <c r="B92" i="1"/>
  <c r="A92" i="1"/>
  <c r="AQ91" i="1"/>
  <c r="AR91" i="1" s="1"/>
  <c r="AP91" i="1"/>
  <c r="AO91" i="1"/>
  <c r="AM91" i="1"/>
  <c r="AN91" i="1" s="1"/>
  <c r="AL91" i="1"/>
  <c r="AK91" i="1"/>
  <c r="AE91" i="1"/>
  <c r="AC91" i="1"/>
  <c r="AB91" i="1"/>
  <c r="AA91" i="1"/>
  <c r="Y91" i="1"/>
  <c r="X91" i="1"/>
  <c r="V91" i="1"/>
  <c r="T91" i="1"/>
  <c r="S91" i="1"/>
  <c r="R91" i="1"/>
  <c r="Q91" i="1"/>
  <c r="P91" i="1"/>
  <c r="O91" i="1"/>
  <c r="N91" i="1"/>
  <c r="M91" i="1"/>
  <c r="U91" i="1" s="1"/>
  <c r="L91" i="1"/>
  <c r="F91" i="1"/>
  <c r="G91" i="1" s="1"/>
  <c r="E91" i="1"/>
  <c r="C91" i="1"/>
  <c r="B91" i="1"/>
  <c r="A91" i="1"/>
  <c r="AQ90" i="1"/>
  <c r="AR90" i="1" s="1"/>
  <c r="AP90" i="1"/>
  <c r="AO90" i="1"/>
  <c r="AM90" i="1"/>
  <c r="AN90" i="1" s="1"/>
  <c r="AL90" i="1"/>
  <c r="AK90" i="1"/>
  <c r="AE90" i="1"/>
  <c r="AC90" i="1"/>
  <c r="AB90" i="1"/>
  <c r="AA90" i="1"/>
  <c r="Y90" i="1"/>
  <c r="Z90" i="1" s="1"/>
  <c r="X90" i="1"/>
  <c r="V90" i="1"/>
  <c r="T90" i="1"/>
  <c r="S90" i="1"/>
  <c r="R90" i="1"/>
  <c r="Q90" i="1"/>
  <c r="P90" i="1"/>
  <c r="O90" i="1"/>
  <c r="N90" i="1"/>
  <c r="M90" i="1"/>
  <c r="U90" i="1" s="1"/>
  <c r="L90" i="1"/>
  <c r="F90" i="1"/>
  <c r="G90" i="1" s="1"/>
  <c r="E90" i="1"/>
  <c r="C90" i="1"/>
  <c r="B90" i="1"/>
  <c r="A90" i="1"/>
  <c r="AQ89" i="1"/>
  <c r="AR89" i="1" s="1"/>
  <c r="AP89" i="1"/>
  <c r="AO89" i="1"/>
  <c r="AM89" i="1"/>
  <c r="AN89" i="1" s="1"/>
  <c r="AL89" i="1"/>
  <c r="AK89" i="1"/>
  <c r="AE89" i="1"/>
  <c r="AC89" i="1"/>
  <c r="AB89" i="1"/>
  <c r="AA89" i="1"/>
  <c r="Y89" i="1"/>
  <c r="Z89" i="1" s="1"/>
  <c r="X89" i="1"/>
  <c r="V89" i="1"/>
  <c r="T89" i="1"/>
  <c r="S89" i="1"/>
  <c r="R89" i="1"/>
  <c r="Q89" i="1"/>
  <c r="P89" i="1"/>
  <c r="O89" i="1"/>
  <c r="N89" i="1"/>
  <c r="M89" i="1"/>
  <c r="U89" i="1" s="1"/>
  <c r="L89" i="1"/>
  <c r="F89" i="1"/>
  <c r="G89" i="1" s="1"/>
  <c r="E89" i="1"/>
  <c r="C89" i="1"/>
  <c r="B89" i="1"/>
  <c r="A89" i="1"/>
  <c r="AQ88" i="1"/>
  <c r="AR88" i="1" s="1"/>
  <c r="AP88" i="1"/>
  <c r="AO88" i="1"/>
  <c r="AM88" i="1"/>
  <c r="AN88" i="1" s="1"/>
  <c r="AL88" i="1"/>
  <c r="AK88" i="1"/>
  <c r="AE88" i="1"/>
  <c r="AC88" i="1"/>
  <c r="AB88" i="1"/>
  <c r="AA88" i="1"/>
  <c r="Y88" i="1"/>
  <c r="Z88" i="1" s="1"/>
  <c r="X88" i="1"/>
  <c r="V88" i="1"/>
  <c r="T88" i="1"/>
  <c r="S88" i="1"/>
  <c r="R88" i="1"/>
  <c r="Q88" i="1"/>
  <c r="P88" i="1"/>
  <c r="O88" i="1"/>
  <c r="N88" i="1"/>
  <c r="M88" i="1"/>
  <c r="U88" i="1" s="1"/>
  <c r="L88" i="1"/>
  <c r="F88" i="1"/>
  <c r="G88" i="1" s="1"/>
  <c r="E88" i="1"/>
  <c r="C88" i="1"/>
  <c r="B88" i="1"/>
  <c r="A88" i="1"/>
  <c r="AP87" i="1"/>
  <c r="AO87" i="1"/>
  <c r="AR87" i="1" s="1"/>
  <c r="AL87" i="1"/>
  <c r="AK87" i="1"/>
  <c r="AN87" i="1" s="1"/>
  <c r="AE87" i="1"/>
  <c r="AC87" i="1"/>
  <c r="AB87" i="1"/>
  <c r="AA87" i="1"/>
  <c r="Y87" i="1"/>
  <c r="X87" i="1"/>
  <c r="V87" i="1"/>
  <c r="T87" i="1"/>
  <c r="S87" i="1"/>
  <c r="R87" i="1"/>
  <c r="Q87" i="1"/>
  <c r="P87" i="1"/>
  <c r="O87" i="1"/>
  <c r="N87" i="1"/>
  <c r="M87" i="1"/>
  <c r="U87" i="1" s="1"/>
  <c r="L87" i="1"/>
  <c r="F87" i="1"/>
  <c r="G87" i="1" s="1"/>
  <c r="E87" i="1"/>
  <c r="C87" i="1"/>
  <c r="B87" i="1"/>
  <c r="A87" i="1"/>
  <c r="AQ86" i="1"/>
  <c r="AR86" i="1" s="1"/>
  <c r="AP86" i="1"/>
  <c r="AO86" i="1"/>
  <c r="AM86" i="1"/>
  <c r="AN86" i="1" s="1"/>
  <c r="AL86" i="1"/>
  <c r="AK86" i="1"/>
  <c r="AE86" i="1"/>
  <c r="AC86" i="1"/>
  <c r="AB86" i="1"/>
  <c r="AA86" i="1"/>
  <c r="Y86" i="1"/>
  <c r="Z86" i="1" s="1"/>
  <c r="X86" i="1"/>
  <c r="T86" i="1"/>
  <c r="S86" i="1"/>
  <c r="R86" i="1"/>
  <c r="Q86" i="1"/>
  <c r="P86" i="1"/>
  <c r="O86" i="1"/>
  <c r="N86" i="1"/>
  <c r="M86" i="1"/>
  <c r="U86" i="1" s="1"/>
  <c r="L86" i="1"/>
  <c r="F86" i="1"/>
  <c r="G86" i="1" s="1"/>
  <c r="E86" i="1"/>
  <c r="C86" i="1"/>
  <c r="B86" i="1"/>
  <c r="A86" i="1"/>
  <c r="AP85" i="1"/>
  <c r="AO85" i="1"/>
  <c r="AL85" i="1"/>
  <c r="AK85" i="1"/>
  <c r="AE85" i="1"/>
  <c r="AC85" i="1"/>
  <c r="AB85" i="1"/>
  <c r="AA85" i="1"/>
  <c r="Y85" i="1"/>
  <c r="Z85" i="1" s="1"/>
  <c r="X85" i="1"/>
  <c r="T85" i="1"/>
  <c r="S85" i="1"/>
  <c r="R85" i="1"/>
  <c r="Q85" i="1"/>
  <c r="P85" i="1"/>
  <c r="O85" i="1"/>
  <c r="N85" i="1"/>
  <c r="M85" i="1"/>
  <c r="U85" i="1" s="1"/>
  <c r="K85" i="1"/>
  <c r="L85" i="1" s="1"/>
  <c r="F85" i="1"/>
  <c r="G85" i="1" s="1"/>
  <c r="E85" i="1"/>
  <c r="C85" i="1"/>
  <c r="B85" i="1"/>
  <c r="A85" i="1"/>
  <c r="AP84" i="1"/>
  <c r="AO84" i="1"/>
  <c r="AR84" i="1" s="1"/>
  <c r="AL84" i="1"/>
  <c r="AK84" i="1"/>
  <c r="AN84" i="1" s="1"/>
  <c r="AE84" i="1"/>
  <c r="AC84" i="1"/>
  <c r="AB84" i="1"/>
  <c r="AA84" i="1"/>
  <c r="Y84" i="1"/>
  <c r="X84" i="1"/>
  <c r="V84" i="1"/>
  <c r="T84" i="1"/>
  <c r="S84" i="1"/>
  <c r="R84" i="1"/>
  <c r="Q84" i="1"/>
  <c r="P84" i="1"/>
  <c r="O84" i="1"/>
  <c r="N84" i="1"/>
  <c r="M84" i="1"/>
  <c r="U84" i="1" s="1"/>
  <c r="L84" i="1"/>
  <c r="F84" i="1"/>
  <c r="G84" i="1" s="1"/>
  <c r="E84" i="1"/>
  <c r="C84" i="1"/>
  <c r="B84" i="1"/>
  <c r="A84" i="1"/>
  <c r="AP83" i="1"/>
  <c r="AO83" i="1"/>
  <c r="AR83" i="1" s="1"/>
  <c r="AL83" i="1"/>
  <c r="AK83" i="1"/>
  <c r="AN83" i="1" s="1"/>
  <c r="AE83" i="1"/>
  <c r="AC83" i="1"/>
  <c r="AB83" i="1"/>
  <c r="AA83" i="1"/>
  <c r="Y83" i="1"/>
  <c r="X83" i="1"/>
  <c r="V83" i="1"/>
  <c r="T83" i="1"/>
  <c r="S83" i="1"/>
  <c r="R83" i="1"/>
  <c r="Q83" i="1"/>
  <c r="P83" i="1"/>
  <c r="O83" i="1"/>
  <c r="N83" i="1"/>
  <c r="M83" i="1"/>
  <c r="U83" i="1" s="1"/>
  <c r="L83" i="1"/>
  <c r="F83" i="1"/>
  <c r="G83" i="1" s="1"/>
  <c r="E83" i="1"/>
  <c r="C83" i="1"/>
  <c r="B83" i="1"/>
  <c r="A83" i="1"/>
  <c r="AP82" i="1"/>
  <c r="AO82" i="1"/>
  <c r="AR82" i="1" s="1"/>
  <c r="AL82" i="1"/>
  <c r="AK82" i="1"/>
  <c r="AN82" i="1" s="1"/>
  <c r="AE82" i="1"/>
  <c r="AC82" i="1"/>
  <c r="AB82" i="1"/>
  <c r="AA82" i="1"/>
  <c r="Y82" i="1"/>
  <c r="X82" i="1"/>
  <c r="V82" i="1"/>
  <c r="T82" i="1"/>
  <c r="S82" i="1"/>
  <c r="R82" i="1"/>
  <c r="Q82" i="1"/>
  <c r="P82" i="1"/>
  <c r="O82" i="1"/>
  <c r="N82" i="1"/>
  <c r="M82" i="1"/>
  <c r="U82" i="1" s="1"/>
  <c r="L82" i="1"/>
  <c r="F82" i="1"/>
  <c r="G82" i="1" s="1"/>
  <c r="E82" i="1"/>
  <c r="C82" i="1"/>
  <c r="B82" i="1"/>
  <c r="A82" i="1"/>
  <c r="AP81" i="1"/>
  <c r="AO81" i="1"/>
  <c r="AR81" i="1" s="1"/>
  <c r="AL81" i="1"/>
  <c r="AK81" i="1"/>
  <c r="AN81" i="1" s="1"/>
  <c r="AE81" i="1"/>
  <c r="AC81" i="1"/>
  <c r="AB81" i="1"/>
  <c r="AA81" i="1"/>
  <c r="Y81" i="1"/>
  <c r="X81" i="1"/>
  <c r="V81" i="1"/>
  <c r="T81" i="1"/>
  <c r="S81" i="1"/>
  <c r="R81" i="1"/>
  <c r="Q81" i="1"/>
  <c r="P81" i="1"/>
  <c r="O81" i="1"/>
  <c r="N81" i="1"/>
  <c r="M81" i="1"/>
  <c r="U81" i="1" s="1"/>
  <c r="L81" i="1"/>
  <c r="F81" i="1"/>
  <c r="G81" i="1" s="1"/>
  <c r="E81" i="1"/>
  <c r="C81" i="1"/>
  <c r="B81" i="1"/>
  <c r="A81" i="1"/>
  <c r="AQ80" i="1"/>
  <c r="AR80" i="1" s="1"/>
  <c r="AP80" i="1"/>
  <c r="AO80" i="1"/>
  <c r="AM80" i="1"/>
  <c r="AN80" i="1" s="1"/>
  <c r="AL80" i="1"/>
  <c r="AK80" i="1"/>
  <c r="AE80" i="1"/>
  <c r="AC80" i="1"/>
  <c r="AB80" i="1"/>
  <c r="AA80" i="1"/>
  <c r="Y80" i="1"/>
  <c r="X80" i="1"/>
  <c r="V80" i="1"/>
  <c r="T80" i="1"/>
  <c r="S80" i="1"/>
  <c r="R80" i="1"/>
  <c r="Q80" i="1"/>
  <c r="P80" i="1"/>
  <c r="O80" i="1"/>
  <c r="N80" i="1"/>
  <c r="M80" i="1"/>
  <c r="U80" i="1" s="1"/>
  <c r="L80" i="1"/>
  <c r="F80" i="1"/>
  <c r="G80" i="1" s="1"/>
  <c r="E80" i="1"/>
  <c r="C80" i="1"/>
  <c r="B80" i="1"/>
  <c r="A80" i="1"/>
  <c r="AQ79" i="1"/>
  <c r="AR79" i="1" s="1"/>
  <c r="AP79" i="1"/>
  <c r="AO79" i="1"/>
  <c r="AM79" i="1"/>
  <c r="AN79" i="1" s="1"/>
  <c r="AL79" i="1"/>
  <c r="AK79" i="1"/>
  <c r="AE79" i="1"/>
  <c r="AC79" i="1"/>
  <c r="AB79" i="1"/>
  <c r="AA79" i="1"/>
  <c r="Y79" i="1"/>
  <c r="Z79" i="1" s="1"/>
  <c r="X79" i="1"/>
  <c r="V79" i="1"/>
  <c r="T79" i="1"/>
  <c r="S79" i="1"/>
  <c r="R79" i="1"/>
  <c r="Q79" i="1"/>
  <c r="P79" i="1"/>
  <c r="O79" i="1"/>
  <c r="N79" i="1"/>
  <c r="M79" i="1"/>
  <c r="U79" i="1" s="1"/>
  <c r="L79" i="1"/>
  <c r="F79" i="1"/>
  <c r="G79" i="1" s="1"/>
  <c r="E79" i="1"/>
  <c r="C79" i="1"/>
  <c r="B79" i="1"/>
  <c r="A79" i="1"/>
  <c r="AP78" i="1"/>
  <c r="AO78" i="1"/>
  <c r="AR78" i="1" s="1"/>
  <c r="AL78" i="1"/>
  <c r="AK78" i="1"/>
  <c r="AN78" i="1" s="1"/>
  <c r="AE78" i="1"/>
  <c r="AC78" i="1"/>
  <c r="AB78" i="1"/>
  <c r="AA78" i="1"/>
  <c r="Y78" i="1"/>
  <c r="X78" i="1"/>
  <c r="V78" i="1"/>
  <c r="T78" i="1"/>
  <c r="S78" i="1"/>
  <c r="R78" i="1"/>
  <c r="Q78" i="1"/>
  <c r="P78" i="1"/>
  <c r="O78" i="1"/>
  <c r="N78" i="1"/>
  <c r="M78" i="1"/>
  <c r="U78" i="1" s="1"/>
  <c r="L78" i="1"/>
  <c r="F78" i="1"/>
  <c r="G78" i="1" s="1"/>
  <c r="E78" i="1"/>
  <c r="C78" i="1"/>
  <c r="B78" i="1"/>
  <c r="A78" i="1"/>
  <c r="AP77" i="1"/>
  <c r="AO77" i="1"/>
  <c r="AR77" i="1" s="1"/>
  <c r="AL77" i="1"/>
  <c r="AK77" i="1"/>
  <c r="AN77" i="1" s="1"/>
  <c r="AE77" i="1"/>
  <c r="AC77" i="1"/>
  <c r="AB77" i="1"/>
  <c r="AA77" i="1"/>
  <c r="Y77" i="1"/>
  <c r="Z77" i="1" s="1"/>
  <c r="X77" i="1"/>
  <c r="V77" i="1"/>
  <c r="T77" i="1"/>
  <c r="S77" i="1"/>
  <c r="R77" i="1"/>
  <c r="Q77" i="1"/>
  <c r="P77" i="1"/>
  <c r="O77" i="1"/>
  <c r="N77" i="1"/>
  <c r="M77" i="1"/>
  <c r="U77" i="1" s="1"/>
  <c r="L77" i="1"/>
  <c r="F77" i="1"/>
  <c r="G77" i="1" s="1"/>
  <c r="E77" i="1"/>
  <c r="C77" i="1"/>
  <c r="B77" i="1"/>
  <c r="A77" i="1"/>
  <c r="AP76" i="1"/>
  <c r="AO76" i="1"/>
  <c r="AR76" i="1" s="1"/>
  <c r="AL76" i="1"/>
  <c r="AK76" i="1"/>
  <c r="AN76" i="1" s="1"/>
  <c r="AE76" i="1"/>
  <c r="AC76" i="1"/>
  <c r="AB76" i="1"/>
  <c r="AA76" i="1"/>
  <c r="Y76" i="1"/>
  <c r="X76" i="1"/>
  <c r="V76" i="1"/>
  <c r="T76" i="1"/>
  <c r="S76" i="1"/>
  <c r="R76" i="1"/>
  <c r="Q76" i="1"/>
  <c r="P76" i="1"/>
  <c r="O76" i="1"/>
  <c r="N76" i="1"/>
  <c r="M76" i="1"/>
  <c r="U76" i="1" s="1"/>
  <c r="L76" i="1"/>
  <c r="F76" i="1"/>
  <c r="G76" i="1" s="1"/>
  <c r="E76" i="1"/>
  <c r="C76" i="1"/>
  <c r="B76" i="1"/>
  <c r="A76" i="1"/>
  <c r="AP75" i="1"/>
  <c r="AO75" i="1"/>
  <c r="AR75" i="1" s="1"/>
  <c r="AL75" i="1"/>
  <c r="AK75" i="1"/>
  <c r="AN75" i="1" s="1"/>
  <c r="AE75" i="1"/>
  <c r="AC75" i="1"/>
  <c r="AB75" i="1"/>
  <c r="AA75" i="1"/>
  <c r="Y75" i="1"/>
  <c r="X75" i="1"/>
  <c r="V75" i="1"/>
  <c r="T75" i="1"/>
  <c r="S75" i="1"/>
  <c r="R75" i="1"/>
  <c r="Q75" i="1"/>
  <c r="P75" i="1"/>
  <c r="O75" i="1"/>
  <c r="N75" i="1"/>
  <c r="M75" i="1"/>
  <c r="U75" i="1" s="1"/>
  <c r="L75" i="1"/>
  <c r="F75" i="1"/>
  <c r="G75" i="1" s="1"/>
  <c r="E75" i="1"/>
  <c r="C75" i="1"/>
  <c r="B75" i="1"/>
  <c r="A75" i="1"/>
  <c r="AQ74" i="1"/>
  <c r="AR74" i="1" s="1"/>
  <c r="AP74" i="1"/>
  <c r="AO74" i="1"/>
  <c r="AM74" i="1"/>
  <c r="AN74" i="1" s="1"/>
  <c r="AL74" i="1"/>
  <c r="AK74" i="1"/>
  <c r="AE74" i="1"/>
  <c r="AC74" i="1"/>
  <c r="AB74" i="1"/>
  <c r="AA74" i="1"/>
  <c r="Y74" i="1"/>
  <c r="X74" i="1"/>
  <c r="V74" i="1"/>
  <c r="T74" i="1"/>
  <c r="S74" i="1"/>
  <c r="R74" i="1"/>
  <c r="Q74" i="1"/>
  <c r="P74" i="1"/>
  <c r="O74" i="1"/>
  <c r="N74" i="1"/>
  <c r="M74" i="1"/>
  <c r="U74" i="1" s="1"/>
  <c r="L74" i="1"/>
  <c r="F74" i="1"/>
  <c r="G74" i="1" s="1"/>
  <c r="E74" i="1"/>
  <c r="C74" i="1"/>
  <c r="B74" i="1"/>
  <c r="A74" i="1"/>
  <c r="AQ73" i="1"/>
  <c r="AR73" i="1" s="1"/>
  <c r="AP73" i="1"/>
  <c r="AO73" i="1"/>
  <c r="AM73" i="1"/>
  <c r="AN73" i="1" s="1"/>
  <c r="AL73" i="1"/>
  <c r="AK73" i="1"/>
  <c r="AE73" i="1"/>
  <c r="AC73" i="1"/>
  <c r="AB73" i="1"/>
  <c r="AA73" i="1"/>
  <c r="Y73" i="1"/>
  <c r="X73" i="1"/>
  <c r="V73" i="1"/>
  <c r="T73" i="1"/>
  <c r="S73" i="1"/>
  <c r="R73" i="1"/>
  <c r="Q73" i="1"/>
  <c r="P73" i="1"/>
  <c r="O73" i="1"/>
  <c r="N73" i="1"/>
  <c r="M73" i="1"/>
  <c r="U73" i="1" s="1"/>
  <c r="L73" i="1"/>
  <c r="F73" i="1"/>
  <c r="G73" i="1" s="1"/>
  <c r="E73" i="1"/>
  <c r="C73" i="1"/>
  <c r="B73" i="1"/>
  <c r="A73" i="1"/>
  <c r="AP72" i="1"/>
  <c r="AO72" i="1"/>
  <c r="AL72" i="1"/>
  <c r="AK72" i="1"/>
  <c r="AE72" i="1"/>
  <c r="AC72" i="1"/>
  <c r="AB72" i="1"/>
  <c r="AA72" i="1"/>
  <c r="Y72" i="1"/>
  <c r="X72" i="1"/>
  <c r="V72" i="1"/>
  <c r="T72" i="1"/>
  <c r="S72" i="1"/>
  <c r="R72" i="1"/>
  <c r="Q72" i="1"/>
  <c r="P72" i="1"/>
  <c r="O72" i="1"/>
  <c r="N72" i="1"/>
  <c r="M72" i="1"/>
  <c r="U72" i="1" s="1"/>
  <c r="K72" i="1"/>
  <c r="L72" i="1" s="1"/>
  <c r="F72" i="1"/>
  <c r="G72" i="1" s="1"/>
  <c r="E72" i="1"/>
  <c r="C72" i="1"/>
  <c r="B72" i="1"/>
  <c r="A72" i="1"/>
  <c r="AP71" i="1"/>
  <c r="AO71" i="1"/>
  <c r="AR71" i="1" s="1"/>
  <c r="AL71" i="1"/>
  <c r="AK71" i="1"/>
  <c r="AN71" i="1" s="1"/>
  <c r="AE71" i="1"/>
  <c r="AC71" i="1"/>
  <c r="AB71" i="1"/>
  <c r="AA71" i="1"/>
  <c r="Y71" i="1"/>
  <c r="X71" i="1"/>
  <c r="V71" i="1"/>
  <c r="T71" i="1"/>
  <c r="S71" i="1"/>
  <c r="R71" i="1"/>
  <c r="Q71" i="1"/>
  <c r="P71" i="1"/>
  <c r="O71" i="1"/>
  <c r="N71" i="1"/>
  <c r="M71" i="1"/>
  <c r="U71" i="1" s="1"/>
  <c r="L71" i="1"/>
  <c r="F71" i="1"/>
  <c r="G71" i="1" s="1"/>
  <c r="E71" i="1"/>
  <c r="C71" i="1"/>
  <c r="B71" i="1"/>
  <c r="A71" i="1"/>
  <c r="AP70" i="1"/>
  <c r="AO70" i="1"/>
  <c r="AL70" i="1"/>
  <c r="AK70" i="1"/>
  <c r="AE70" i="1"/>
  <c r="AC70" i="1"/>
  <c r="AB70" i="1"/>
  <c r="AA70" i="1"/>
  <c r="Y70" i="1"/>
  <c r="X70" i="1"/>
  <c r="V70" i="1"/>
  <c r="T70" i="1"/>
  <c r="S70" i="1"/>
  <c r="R70" i="1"/>
  <c r="Q70" i="1"/>
  <c r="P70" i="1"/>
  <c r="O70" i="1"/>
  <c r="N70" i="1"/>
  <c r="M70" i="1"/>
  <c r="U70" i="1" s="1"/>
  <c r="K70" i="1"/>
  <c r="L70" i="1" s="1"/>
  <c r="F70" i="1"/>
  <c r="G70" i="1" s="1"/>
  <c r="E70" i="1"/>
  <c r="C70" i="1"/>
  <c r="B70" i="1"/>
  <c r="A70" i="1"/>
  <c r="AP69" i="1"/>
  <c r="AO69" i="1"/>
  <c r="AR69" i="1" s="1"/>
  <c r="AL69" i="1"/>
  <c r="AK69" i="1"/>
  <c r="AN69" i="1" s="1"/>
  <c r="AE69" i="1"/>
  <c r="AC69" i="1"/>
  <c r="AB69" i="1"/>
  <c r="AA69" i="1"/>
  <c r="Y69" i="1"/>
  <c r="Z69" i="1" s="1"/>
  <c r="X69" i="1"/>
  <c r="V69" i="1"/>
  <c r="T69" i="1"/>
  <c r="S69" i="1"/>
  <c r="R69" i="1"/>
  <c r="Q69" i="1"/>
  <c r="P69" i="1"/>
  <c r="O69" i="1"/>
  <c r="N69" i="1"/>
  <c r="M69" i="1"/>
  <c r="U69" i="1" s="1"/>
  <c r="L69" i="1"/>
  <c r="F69" i="1"/>
  <c r="G69" i="1" s="1"/>
  <c r="E69" i="1"/>
  <c r="C69" i="1"/>
  <c r="B69" i="1"/>
  <c r="A69" i="1"/>
  <c r="AQ68" i="1"/>
  <c r="AR68" i="1" s="1"/>
  <c r="AP68" i="1"/>
  <c r="AO68" i="1"/>
  <c r="AM68" i="1"/>
  <c r="AN68" i="1" s="1"/>
  <c r="AL68" i="1"/>
  <c r="AK68" i="1"/>
  <c r="AE68" i="1"/>
  <c r="AC68" i="1"/>
  <c r="AB68" i="1"/>
  <c r="AA68" i="1"/>
  <c r="Y68" i="1"/>
  <c r="X68" i="1"/>
  <c r="V68" i="1"/>
  <c r="T68" i="1"/>
  <c r="S68" i="1"/>
  <c r="R68" i="1"/>
  <c r="Q68" i="1"/>
  <c r="P68" i="1"/>
  <c r="O68" i="1"/>
  <c r="N68" i="1"/>
  <c r="M68" i="1"/>
  <c r="U68" i="1" s="1"/>
  <c r="L68" i="1"/>
  <c r="F68" i="1"/>
  <c r="G68" i="1" s="1"/>
  <c r="E68" i="1"/>
  <c r="C68" i="1"/>
  <c r="B68" i="1"/>
  <c r="A68" i="1"/>
  <c r="AQ67" i="1"/>
  <c r="AR67" i="1" s="1"/>
  <c r="AP67" i="1"/>
  <c r="AO67" i="1"/>
  <c r="AM67" i="1"/>
  <c r="AN67" i="1" s="1"/>
  <c r="AL67" i="1"/>
  <c r="AK67" i="1"/>
  <c r="AE67" i="1"/>
  <c r="AC67" i="1"/>
  <c r="AB67" i="1"/>
  <c r="AA67" i="1"/>
  <c r="Y67" i="1"/>
  <c r="X67" i="1"/>
  <c r="V67" i="1"/>
  <c r="T67" i="1"/>
  <c r="S67" i="1"/>
  <c r="R67" i="1"/>
  <c r="Q67" i="1"/>
  <c r="P67" i="1"/>
  <c r="O67" i="1"/>
  <c r="N67" i="1"/>
  <c r="M67" i="1"/>
  <c r="L67" i="1"/>
  <c r="F67" i="1"/>
  <c r="G67" i="1" s="1"/>
  <c r="E67" i="1"/>
  <c r="C67" i="1"/>
  <c r="B67" i="1"/>
  <c r="A67" i="1"/>
  <c r="AP66" i="1"/>
  <c r="AO66" i="1"/>
  <c r="AL66" i="1"/>
  <c r="AK66" i="1"/>
  <c r="AE66" i="1"/>
  <c r="AC66" i="1"/>
  <c r="AB66" i="1"/>
  <c r="AA66" i="1"/>
  <c r="Y66" i="1"/>
  <c r="X66" i="1"/>
  <c r="V66" i="1"/>
  <c r="T66" i="1"/>
  <c r="S66" i="1"/>
  <c r="R66" i="1"/>
  <c r="Q66" i="1"/>
  <c r="P66" i="1"/>
  <c r="O66" i="1"/>
  <c r="N66" i="1"/>
  <c r="M66" i="1"/>
  <c r="U66" i="1" s="1"/>
  <c r="K66" i="1"/>
  <c r="L66" i="1" s="1"/>
  <c r="F66" i="1"/>
  <c r="G66" i="1" s="1"/>
  <c r="E66" i="1"/>
  <c r="C66" i="1"/>
  <c r="B66" i="1"/>
  <c r="A66" i="1"/>
  <c r="AP65" i="1"/>
  <c r="AO65" i="1"/>
  <c r="AR65" i="1" s="1"/>
  <c r="AL65" i="1"/>
  <c r="AK65" i="1"/>
  <c r="AN65" i="1" s="1"/>
  <c r="AE65" i="1"/>
  <c r="AC65" i="1"/>
  <c r="AB65" i="1"/>
  <c r="AA65" i="1"/>
  <c r="Y65" i="1"/>
  <c r="X65" i="1"/>
  <c r="V65" i="1"/>
  <c r="T65" i="1"/>
  <c r="S65" i="1"/>
  <c r="R65" i="1"/>
  <c r="Q65" i="1"/>
  <c r="P65" i="1"/>
  <c r="O65" i="1"/>
  <c r="N65" i="1"/>
  <c r="M65" i="1"/>
  <c r="U65" i="1" s="1"/>
  <c r="L65" i="1"/>
  <c r="F65" i="1"/>
  <c r="G65" i="1" s="1"/>
  <c r="E65" i="1"/>
  <c r="C65" i="1"/>
  <c r="B65" i="1"/>
  <c r="A65" i="1"/>
  <c r="AP64" i="1"/>
  <c r="AO64" i="1"/>
  <c r="AL64" i="1"/>
  <c r="AK64" i="1"/>
  <c r="AE64" i="1"/>
  <c r="AC64" i="1"/>
  <c r="AB64" i="1"/>
  <c r="AA64" i="1"/>
  <c r="Y64" i="1"/>
  <c r="X64" i="1"/>
  <c r="V64" i="1"/>
  <c r="T64" i="1"/>
  <c r="S64" i="1"/>
  <c r="R64" i="1"/>
  <c r="Q64" i="1"/>
  <c r="P64" i="1"/>
  <c r="O64" i="1"/>
  <c r="N64" i="1"/>
  <c r="M64" i="1"/>
  <c r="U64" i="1" s="1"/>
  <c r="K64" i="1"/>
  <c r="L64" i="1" s="1"/>
  <c r="F64" i="1"/>
  <c r="G64" i="1" s="1"/>
  <c r="E64" i="1"/>
  <c r="C64" i="1"/>
  <c r="B64" i="1"/>
  <c r="A64" i="1"/>
  <c r="AQ63" i="1"/>
  <c r="AR63" i="1" s="1"/>
  <c r="AP63" i="1"/>
  <c r="AO63" i="1"/>
  <c r="AM63" i="1"/>
  <c r="AN63" i="1" s="1"/>
  <c r="AL63" i="1"/>
  <c r="AK63" i="1"/>
  <c r="AE63" i="1"/>
  <c r="AC63" i="1"/>
  <c r="AB63" i="1"/>
  <c r="AA63" i="1"/>
  <c r="Y63" i="1"/>
  <c r="X63" i="1"/>
  <c r="V63" i="1"/>
  <c r="T63" i="1"/>
  <c r="S63" i="1"/>
  <c r="R63" i="1"/>
  <c r="Q63" i="1"/>
  <c r="P63" i="1"/>
  <c r="O63" i="1"/>
  <c r="N63" i="1"/>
  <c r="M63" i="1"/>
  <c r="U63" i="1" s="1"/>
  <c r="L63" i="1"/>
  <c r="F63" i="1"/>
  <c r="G63" i="1" s="1"/>
  <c r="E63" i="1"/>
  <c r="C63" i="1"/>
  <c r="B63" i="1"/>
  <c r="A63" i="1"/>
  <c r="AP62" i="1"/>
  <c r="AO62" i="1"/>
  <c r="AL62" i="1"/>
  <c r="AK62" i="1"/>
  <c r="AE62" i="1"/>
  <c r="AC62" i="1"/>
  <c r="AB62" i="1"/>
  <c r="AA62" i="1"/>
  <c r="Y62" i="1"/>
  <c r="X62" i="1"/>
  <c r="V62" i="1"/>
  <c r="T62" i="1"/>
  <c r="S62" i="1"/>
  <c r="R62" i="1"/>
  <c r="Q62" i="1"/>
  <c r="P62" i="1"/>
  <c r="O62" i="1"/>
  <c r="N62" i="1"/>
  <c r="M62" i="1"/>
  <c r="U62" i="1" s="1"/>
  <c r="K62" i="1"/>
  <c r="L62" i="1" s="1"/>
  <c r="F62" i="1"/>
  <c r="G62" i="1" s="1"/>
  <c r="E62" i="1"/>
  <c r="C62" i="1"/>
  <c r="B62" i="1"/>
  <c r="A62" i="1"/>
  <c r="AP61" i="1"/>
  <c r="AO61" i="1"/>
  <c r="AR61" i="1" s="1"/>
  <c r="AL61" i="1"/>
  <c r="AK61" i="1"/>
  <c r="AN61" i="1" s="1"/>
  <c r="AE61" i="1"/>
  <c r="AC61" i="1"/>
  <c r="AB61" i="1"/>
  <c r="AA61" i="1"/>
  <c r="Y61" i="1"/>
  <c r="X61" i="1"/>
  <c r="V61" i="1"/>
  <c r="T61" i="1"/>
  <c r="S61" i="1"/>
  <c r="R61" i="1"/>
  <c r="Q61" i="1"/>
  <c r="P61" i="1"/>
  <c r="O61" i="1"/>
  <c r="N61" i="1"/>
  <c r="M61" i="1"/>
  <c r="L61" i="1"/>
  <c r="F61" i="1"/>
  <c r="G61" i="1" s="1"/>
  <c r="E61" i="1"/>
  <c r="C61" i="1"/>
  <c r="B61" i="1"/>
  <c r="A61" i="1"/>
  <c r="AP60" i="1"/>
  <c r="AO60" i="1"/>
  <c r="AR60" i="1" s="1"/>
  <c r="AL60" i="1"/>
  <c r="AK60" i="1"/>
  <c r="AN60" i="1" s="1"/>
  <c r="AE60" i="1"/>
  <c r="AC60" i="1"/>
  <c r="AB60" i="1"/>
  <c r="AA60" i="1"/>
  <c r="Y60" i="1"/>
  <c r="Z60" i="1" s="1"/>
  <c r="X60" i="1"/>
  <c r="V60" i="1"/>
  <c r="T60" i="1"/>
  <c r="S60" i="1"/>
  <c r="R60" i="1"/>
  <c r="Q60" i="1"/>
  <c r="P60" i="1"/>
  <c r="O60" i="1"/>
  <c r="N60" i="1"/>
  <c r="M60" i="1"/>
  <c r="U60" i="1" s="1"/>
  <c r="L60" i="1"/>
  <c r="F60" i="1"/>
  <c r="G60" i="1" s="1"/>
  <c r="E60" i="1"/>
  <c r="C60" i="1"/>
  <c r="B60" i="1"/>
  <c r="A60" i="1"/>
  <c r="AP59" i="1"/>
  <c r="AO59" i="1"/>
  <c r="AL59" i="1"/>
  <c r="AK59" i="1"/>
  <c r="AE59" i="1"/>
  <c r="AC59" i="1"/>
  <c r="AB59" i="1"/>
  <c r="AA59" i="1"/>
  <c r="Y59" i="1"/>
  <c r="X59" i="1"/>
  <c r="V59" i="1"/>
  <c r="T59" i="1"/>
  <c r="S59" i="1"/>
  <c r="R59" i="1"/>
  <c r="Q59" i="1"/>
  <c r="P59" i="1"/>
  <c r="O59" i="1"/>
  <c r="N59" i="1"/>
  <c r="M59" i="1"/>
  <c r="U59" i="1" s="1"/>
  <c r="K59" i="1"/>
  <c r="L59" i="1" s="1"/>
  <c r="F59" i="1"/>
  <c r="G59" i="1" s="1"/>
  <c r="E59" i="1"/>
  <c r="C59" i="1"/>
  <c r="B59" i="1"/>
  <c r="A59" i="1"/>
  <c r="AP58" i="1"/>
  <c r="AO58" i="1"/>
  <c r="AR58" i="1" s="1"/>
  <c r="AL58" i="1"/>
  <c r="AK58" i="1"/>
  <c r="AN58" i="1" s="1"/>
  <c r="AE58" i="1"/>
  <c r="AC58" i="1"/>
  <c r="AB58" i="1"/>
  <c r="AA58" i="1"/>
  <c r="Y58" i="1"/>
  <c r="Z58" i="1" s="1"/>
  <c r="X58" i="1"/>
  <c r="V58" i="1"/>
  <c r="T58" i="1"/>
  <c r="S58" i="1"/>
  <c r="R58" i="1"/>
  <c r="Q58" i="1"/>
  <c r="P58" i="1"/>
  <c r="O58" i="1"/>
  <c r="N58" i="1"/>
  <c r="M58" i="1"/>
  <c r="U58" i="1" s="1"/>
  <c r="L58" i="1"/>
  <c r="F58" i="1"/>
  <c r="G58" i="1" s="1"/>
  <c r="E58" i="1"/>
  <c r="C58" i="1"/>
  <c r="B58" i="1"/>
  <c r="A58" i="1"/>
  <c r="AQ57" i="1"/>
  <c r="AR57" i="1" s="1"/>
  <c r="AP57" i="1"/>
  <c r="AO57" i="1"/>
  <c r="AN57" i="1"/>
  <c r="AL57" i="1"/>
  <c r="AK57" i="1"/>
  <c r="AE57" i="1"/>
  <c r="AC57" i="1"/>
  <c r="AB57" i="1"/>
  <c r="AA57" i="1"/>
  <c r="Y57" i="1"/>
  <c r="Z57" i="1" s="1"/>
  <c r="X57" i="1"/>
  <c r="V57" i="1"/>
  <c r="T57" i="1"/>
  <c r="S57" i="1"/>
  <c r="R57" i="1"/>
  <c r="Q57" i="1"/>
  <c r="P57" i="1"/>
  <c r="O57" i="1"/>
  <c r="N57" i="1"/>
  <c r="M57" i="1"/>
  <c r="U57" i="1" s="1"/>
  <c r="L57" i="1"/>
  <c r="F57" i="1"/>
  <c r="G57" i="1" s="1"/>
  <c r="E57" i="1"/>
  <c r="C57" i="1"/>
  <c r="B57" i="1"/>
  <c r="A57" i="1"/>
  <c r="AP56" i="1"/>
  <c r="AO56" i="1"/>
  <c r="AR56" i="1" s="1"/>
  <c r="AL56" i="1"/>
  <c r="AK56" i="1"/>
  <c r="AN56" i="1" s="1"/>
  <c r="AE56" i="1"/>
  <c r="AC56" i="1"/>
  <c r="AB56" i="1"/>
  <c r="AA56" i="1"/>
  <c r="Y56" i="1"/>
  <c r="Z56" i="1" s="1"/>
  <c r="X56" i="1"/>
  <c r="V56" i="1"/>
  <c r="T56" i="1"/>
  <c r="S56" i="1"/>
  <c r="R56" i="1"/>
  <c r="Q56" i="1"/>
  <c r="P56" i="1"/>
  <c r="O56" i="1"/>
  <c r="N56" i="1"/>
  <c r="M56" i="1"/>
  <c r="L56" i="1"/>
  <c r="F56" i="1"/>
  <c r="G56" i="1" s="1"/>
  <c r="E56" i="1"/>
  <c r="C56" i="1"/>
  <c r="B56" i="1"/>
  <c r="A56" i="1"/>
  <c r="AQ55" i="1"/>
  <c r="AR55" i="1" s="1"/>
  <c r="AP55" i="1"/>
  <c r="AO55" i="1"/>
  <c r="AN55" i="1"/>
  <c r="AL55" i="1"/>
  <c r="AK55" i="1"/>
  <c r="AE55" i="1"/>
  <c r="AC55" i="1"/>
  <c r="AB55" i="1"/>
  <c r="AA55" i="1"/>
  <c r="Y55" i="1"/>
  <c r="X55" i="1"/>
  <c r="V55" i="1"/>
  <c r="T55" i="1"/>
  <c r="S55" i="1"/>
  <c r="R55" i="1"/>
  <c r="Q55" i="1"/>
  <c r="P55" i="1"/>
  <c r="O55" i="1"/>
  <c r="N55" i="1"/>
  <c r="M55" i="1"/>
  <c r="U55" i="1" s="1"/>
  <c r="L55" i="1"/>
  <c r="F55" i="1"/>
  <c r="E55" i="1"/>
  <c r="C55" i="1"/>
  <c r="B55" i="1"/>
  <c r="AP54" i="1"/>
  <c r="AO54" i="1"/>
  <c r="AL54" i="1"/>
  <c r="AK54" i="1"/>
  <c r="AE54" i="1"/>
  <c r="AC54" i="1"/>
  <c r="AB54" i="1"/>
  <c r="AA54" i="1"/>
  <c r="Y54" i="1"/>
  <c r="Z54" i="1" s="1"/>
  <c r="X54" i="1"/>
  <c r="V54" i="1"/>
  <c r="T54" i="1"/>
  <c r="S54" i="1"/>
  <c r="R54" i="1"/>
  <c r="Q54" i="1"/>
  <c r="P54" i="1"/>
  <c r="O54" i="1"/>
  <c r="N54" i="1"/>
  <c r="M54" i="1"/>
  <c r="U54" i="1" s="1"/>
  <c r="K54" i="1"/>
  <c r="L54" i="1" s="1"/>
  <c r="F54" i="1"/>
  <c r="G54" i="1" s="1"/>
  <c r="E54" i="1"/>
  <c r="C54" i="1"/>
  <c r="B54" i="1"/>
  <c r="A54" i="1"/>
  <c r="AP53" i="1"/>
  <c r="AO53" i="1"/>
  <c r="AR53" i="1" s="1"/>
  <c r="AL53" i="1"/>
  <c r="AK53" i="1"/>
  <c r="AN53" i="1" s="1"/>
  <c r="AE53" i="1"/>
  <c r="AC53" i="1"/>
  <c r="AB53" i="1"/>
  <c r="AA53" i="1"/>
  <c r="Y53" i="1"/>
  <c r="Z53" i="1" s="1"/>
  <c r="X53" i="1"/>
  <c r="V53" i="1"/>
  <c r="T53" i="1"/>
  <c r="S53" i="1"/>
  <c r="R53" i="1"/>
  <c r="Q53" i="1"/>
  <c r="P53" i="1"/>
  <c r="O53" i="1"/>
  <c r="N53" i="1"/>
  <c r="M53" i="1"/>
  <c r="U53" i="1" s="1"/>
  <c r="L53" i="1"/>
  <c r="F53" i="1"/>
  <c r="G53" i="1" s="1"/>
  <c r="E53" i="1"/>
  <c r="C53" i="1"/>
  <c r="B53" i="1"/>
  <c r="A53" i="1"/>
  <c r="AP52" i="1"/>
  <c r="AO52" i="1"/>
  <c r="AR52" i="1" s="1"/>
  <c r="AL52" i="1"/>
  <c r="AK52" i="1"/>
  <c r="AN52" i="1" s="1"/>
  <c r="AE52" i="1"/>
  <c r="AC52" i="1"/>
  <c r="AB52" i="1"/>
  <c r="AA52" i="1"/>
  <c r="Y52" i="1"/>
  <c r="Z52" i="1" s="1"/>
  <c r="X52" i="1"/>
  <c r="V52" i="1"/>
  <c r="T52" i="1"/>
  <c r="S52" i="1"/>
  <c r="R52" i="1"/>
  <c r="Q52" i="1"/>
  <c r="P52" i="1"/>
  <c r="O52" i="1"/>
  <c r="N52" i="1"/>
  <c r="M52" i="1"/>
  <c r="U52" i="1" s="1"/>
  <c r="L52" i="1"/>
  <c r="F52" i="1"/>
  <c r="G52" i="1" s="1"/>
  <c r="E52" i="1"/>
  <c r="C52" i="1"/>
  <c r="B52" i="1"/>
  <c r="A52" i="1"/>
  <c r="AP51" i="1"/>
  <c r="AO51" i="1"/>
  <c r="AL51" i="1"/>
  <c r="AK51" i="1"/>
  <c r="AE51" i="1"/>
  <c r="AC51" i="1"/>
  <c r="AB51" i="1"/>
  <c r="AA51" i="1"/>
  <c r="Y51" i="1"/>
  <c r="Z51" i="1" s="1"/>
  <c r="X51" i="1"/>
  <c r="V51" i="1"/>
  <c r="T51" i="1"/>
  <c r="S51" i="1"/>
  <c r="R51" i="1"/>
  <c r="Q51" i="1"/>
  <c r="P51" i="1"/>
  <c r="O51" i="1"/>
  <c r="N51" i="1"/>
  <c r="M51" i="1"/>
  <c r="U51" i="1" s="1"/>
  <c r="K51" i="1"/>
  <c r="L51" i="1" s="1"/>
  <c r="F51" i="1"/>
  <c r="G51" i="1" s="1"/>
  <c r="E51" i="1"/>
  <c r="C51" i="1"/>
  <c r="B51" i="1"/>
  <c r="A51" i="1"/>
  <c r="AP50" i="1"/>
  <c r="AO50" i="1"/>
  <c r="AR50" i="1" s="1"/>
  <c r="AL50" i="1"/>
  <c r="AK50" i="1"/>
  <c r="AN50" i="1" s="1"/>
  <c r="AE50" i="1"/>
  <c r="AC50" i="1"/>
  <c r="AB50" i="1"/>
  <c r="AA50" i="1"/>
  <c r="Y50" i="1"/>
  <c r="X50" i="1"/>
  <c r="V50" i="1"/>
  <c r="T50" i="1"/>
  <c r="S50" i="1"/>
  <c r="R50" i="1"/>
  <c r="Q50" i="1"/>
  <c r="P50" i="1"/>
  <c r="O50" i="1"/>
  <c r="N50" i="1"/>
  <c r="M50" i="1"/>
  <c r="U50" i="1" s="1"/>
  <c r="L50" i="1"/>
  <c r="F50" i="1"/>
  <c r="G50" i="1" s="1"/>
  <c r="E50" i="1"/>
  <c r="C50" i="1"/>
  <c r="B50" i="1"/>
  <c r="A50" i="1"/>
  <c r="AQ49" i="1"/>
  <c r="AR49" i="1" s="1"/>
  <c r="AP49" i="1"/>
  <c r="AO49" i="1"/>
  <c r="AN49" i="1"/>
  <c r="AL49" i="1"/>
  <c r="AK49" i="1"/>
  <c r="AE49" i="1"/>
  <c r="AC49" i="1"/>
  <c r="AB49" i="1"/>
  <c r="AA49" i="1"/>
  <c r="Y49" i="1"/>
  <c r="Z49" i="1" s="1"/>
  <c r="X49" i="1"/>
  <c r="V49" i="1"/>
  <c r="T49" i="1"/>
  <c r="S49" i="1"/>
  <c r="R49" i="1"/>
  <c r="Q49" i="1"/>
  <c r="P49" i="1"/>
  <c r="O49" i="1"/>
  <c r="N49" i="1"/>
  <c r="M49" i="1"/>
  <c r="U49" i="1" s="1"/>
  <c r="L49" i="1"/>
  <c r="F49" i="1"/>
  <c r="G49" i="1" s="1"/>
  <c r="E49" i="1"/>
  <c r="C49" i="1"/>
  <c r="B49" i="1"/>
  <c r="A49" i="1"/>
  <c r="AQ48" i="1"/>
  <c r="AR48" i="1" s="1"/>
  <c r="AP48" i="1"/>
  <c r="AO48" i="1"/>
  <c r="AN48" i="1"/>
  <c r="AL48" i="1"/>
  <c r="AK48" i="1"/>
  <c r="AE48" i="1"/>
  <c r="AC48" i="1"/>
  <c r="AB48" i="1"/>
  <c r="AA48" i="1"/>
  <c r="Y48" i="1"/>
  <c r="Z48" i="1" s="1"/>
  <c r="X48" i="1"/>
  <c r="V48" i="1"/>
  <c r="T48" i="1"/>
  <c r="S48" i="1"/>
  <c r="R48" i="1"/>
  <c r="Q48" i="1"/>
  <c r="P48" i="1"/>
  <c r="O48" i="1"/>
  <c r="N48" i="1"/>
  <c r="M48" i="1"/>
  <c r="L48" i="1"/>
  <c r="F48" i="1"/>
  <c r="G48" i="1" s="1"/>
  <c r="E48" i="1"/>
  <c r="C48" i="1"/>
  <c r="B48" i="1"/>
  <c r="A48" i="1"/>
  <c r="AQ47" i="1"/>
  <c r="AR47" i="1" s="1"/>
  <c r="AP47" i="1"/>
  <c r="AO47" i="1"/>
  <c r="AN47" i="1"/>
  <c r="AL47" i="1"/>
  <c r="AK47" i="1"/>
  <c r="AE47" i="1"/>
  <c r="AC47" i="1"/>
  <c r="AB47" i="1"/>
  <c r="AA47" i="1"/>
  <c r="Y47" i="1"/>
  <c r="X47" i="1"/>
  <c r="V47" i="1"/>
  <c r="T47" i="1"/>
  <c r="S47" i="1"/>
  <c r="R47" i="1"/>
  <c r="Q47" i="1"/>
  <c r="P47" i="1"/>
  <c r="O47" i="1"/>
  <c r="N47" i="1"/>
  <c r="M47" i="1"/>
  <c r="U47" i="1" s="1"/>
  <c r="L47" i="1"/>
  <c r="F47" i="1"/>
  <c r="G47" i="1" s="1"/>
  <c r="E47" i="1"/>
  <c r="C47" i="1"/>
  <c r="B47" i="1"/>
  <c r="A47" i="1"/>
  <c r="AQ46" i="1"/>
  <c r="AR46" i="1" s="1"/>
  <c r="AP46" i="1"/>
  <c r="AO46" i="1"/>
  <c r="AN46" i="1"/>
  <c r="AL46" i="1"/>
  <c r="AK46" i="1"/>
  <c r="AE46" i="1"/>
  <c r="AC46" i="1"/>
  <c r="AB46" i="1"/>
  <c r="AA46" i="1"/>
  <c r="Y46" i="1"/>
  <c r="Z46" i="1" s="1"/>
  <c r="X46" i="1"/>
  <c r="V46" i="1"/>
  <c r="T46" i="1"/>
  <c r="S46" i="1"/>
  <c r="R46" i="1"/>
  <c r="Q46" i="1"/>
  <c r="P46" i="1"/>
  <c r="O46" i="1"/>
  <c r="N46" i="1"/>
  <c r="M46" i="1"/>
  <c r="U46" i="1" s="1"/>
  <c r="L46" i="1"/>
  <c r="F46" i="1"/>
  <c r="G46" i="1" s="1"/>
  <c r="E46" i="1"/>
  <c r="C46" i="1"/>
  <c r="B46" i="1"/>
  <c r="A46" i="1"/>
  <c r="AP45" i="1"/>
  <c r="AO45" i="1"/>
  <c r="AL45" i="1"/>
  <c r="AK45" i="1"/>
  <c r="AE45" i="1"/>
  <c r="AC45" i="1"/>
  <c r="AB45" i="1"/>
  <c r="AA45" i="1"/>
  <c r="Y45" i="1"/>
  <c r="X45" i="1"/>
  <c r="V45" i="1"/>
  <c r="T45" i="1"/>
  <c r="S45" i="1"/>
  <c r="R45" i="1"/>
  <c r="Q45" i="1"/>
  <c r="P45" i="1"/>
  <c r="O45" i="1"/>
  <c r="N45" i="1"/>
  <c r="M45" i="1"/>
  <c r="U45" i="1" s="1"/>
  <c r="K45" i="1"/>
  <c r="L45" i="1" s="1"/>
  <c r="F45" i="1"/>
  <c r="G45" i="1" s="1"/>
  <c r="E45" i="1"/>
  <c r="C45" i="1"/>
  <c r="B45" i="1"/>
  <c r="A45" i="1"/>
  <c r="AP44" i="1"/>
  <c r="AO44" i="1"/>
  <c r="AR44" i="1" s="1"/>
  <c r="AL44" i="1"/>
  <c r="AK44" i="1"/>
  <c r="AN44" i="1" s="1"/>
  <c r="AE44" i="1"/>
  <c r="AC44" i="1"/>
  <c r="AB44" i="1"/>
  <c r="AA44" i="1"/>
  <c r="Y44" i="1"/>
  <c r="Z44" i="1" s="1"/>
  <c r="X44" i="1"/>
  <c r="V44" i="1"/>
  <c r="T44" i="1"/>
  <c r="S44" i="1"/>
  <c r="R44" i="1"/>
  <c r="Q44" i="1"/>
  <c r="P44" i="1"/>
  <c r="O44" i="1"/>
  <c r="N44" i="1"/>
  <c r="M44" i="1"/>
  <c r="U44" i="1" s="1"/>
  <c r="L44" i="1"/>
  <c r="F44" i="1"/>
  <c r="G44" i="1" s="1"/>
  <c r="E44" i="1"/>
  <c r="C44" i="1"/>
  <c r="B44" i="1"/>
  <c r="A44" i="1"/>
  <c r="AP43" i="1"/>
  <c r="AO43" i="1"/>
  <c r="AR43" i="1" s="1"/>
  <c r="AL43" i="1"/>
  <c r="AK43" i="1"/>
  <c r="AN43" i="1" s="1"/>
  <c r="AE43" i="1"/>
  <c r="AC43" i="1"/>
  <c r="AB43" i="1"/>
  <c r="AA43" i="1"/>
  <c r="Y43" i="1"/>
  <c r="X43" i="1"/>
  <c r="V43" i="1"/>
  <c r="T43" i="1"/>
  <c r="S43" i="1"/>
  <c r="R43" i="1"/>
  <c r="Q43" i="1"/>
  <c r="P43" i="1"/>
  <c r="O43" i="1"/>
  <c r="N43" i="1"/>
  <c r="M43" i="1"/>
  <c r="U43" i="1" s="1"/>
  <c r="L43" i="1"/>
  <c r="F43" i="1"/>
  <c r="G43" i="1" s="1"/>
  <c r="E43" i="1"/>
  <c r="C43" i="1"/>
  <c r="B43" i="1"/>
  <c r="A43" i="1"/>
  <c r="AP42" i="1"/>
  <c r="AO42" i="1"/>
  <c r="AR42" i="1" s="1"/>
  <c r="AL42" i="1"/>
  <c r="AK42" i="1"/>
  <c r="AN42" i="1" s="1"/>
  <c r="AE42" i="1"/>
  <c r="AC42" i="1"/>
  <c r="AB42" i="1"/>
  <c r="AA42" i="1"/>
  <c r="Y42" i="1"/>
  <c r="X42" i="1"/>
  <c r="V42" i="1"/>
  <c r="T42" i="1"/>
  <c r="S42" i="1"/>
  <c r="R42" i="1"/>
  <c r="Q42" i="1"/>
  <c r="P42" i="1"/>
  <c r="O42" i="1"/>
  <c r="N42" i="1"/>
  <c r="M42" i="1"/>
  <c r="U42" i="1" s="1"/>
  <c r="L42" i="1"/>
  <c r="F42" i="1"/>
  <c r="G42" i="1" s="1"/>
  <c r="E42" i="1"/>
  <c r="C42" i="1"/>
  <c r="B42" i="1"/>
  <c r="A42" i="1"/>
  <c r="AP41" i="1"/>
  <c r="AO41" i="1"/>
  <c r="AL41" i="1"/>
  <c r="AK41" i="1"/>
  <c r="AE41" i="1"/>
  <c r="AC41" i="1"/>
  <c r="AB41" i="1"/>
  <c r="AA41" i="1"/>
  <c r="Y41" i="1"/>
  <c r="X41" i="1"/>
  <c r="V41" i="1"/>
  <c r="T41" i="1"/>
  <c r="S41" i="1"/>
  <c r="R41" i="1"/>
  <c r="Q41" i="1"/>
  <c r="P41" i="1"/>
  <c r="O41" i="1"/>
  <c r="N41" i="1"/>
  <c r="M41" i="1"/>
  <c r="U41" i="1" s="1"/>
  <c r="K41" i="1"/>
  <c r="L41" i="1" s="1"/>
  <c r="F41" i="1"/>
  <c r="G41" i="1" s="1"/>
  <c r="E41" i="1"/>
  <c r="C41" i="1"/>
  <c r="B41" i="1"/>
  <c r="A41" i="1"/>
  <c r="AP40" i="1"/>
  <c r="AO40" i="1"/>
  <c r="AR40" i="1" s="1"/>
  <c r="AL40" i="1"/>
  <c r="AK40" i="1"/>
  <c r="AN40" i="1" s="1"/>
  <c r="AE40" i="1"/>
  <c r="AC40" i="1"/>
  <c r="AB40" i="1"/>
  <c r="AA40" i="1"/>
  <c r="Y40" i="1"/>
  <c r="X40" i="1"/>
  <c r="V40" i="1"/>
  <c r="T40" i="1"/>
  <c r="S40" i="1"/>
  <c r="R40" i="1"/>
  <c r="Q40" i="1"/>
  <c r="P40" i="1"/>
  <c r="O40" i="1"/>
  <c r="N40" i="1"/>
  <c r="M40" i="1"/>
  <c r="U40" i="1" s="1"/>
  <c r="L40" i="1"/>
  <c r="F40" i="1"/>
  <c r="E40" i="1"/>
  <c r="C40" i="1"/>
  <c r="B40" i="1"/>
  <c r="AQ39" i="1"/>
  <c r="AR39" i="1" s="1"/>
  <c r="AP39" i="1"/>
  <c r="AO39" i="1"/>
  <c r="AM39" i="1"/>
  <c r="AN39" i="1" s="1"/>
  <c r="AL39" i="1"/>
  <c r="AK39" i="1"/>
  <c r="AE39" i="1"/>
  <c r="AC39" i="1"/>
  <c r="AB39" i="1"/>
  <c r="AA39" i="1"/>
  <c r="Y39" i="1"/>
  <c r="X39" i="1"/>
  <c r="V39" i="1"/>
  <c r="T39" i="1"/>
  <c r="S39" i="1"/>
  <c r="R39" i="1"/>
  <c r="Q39" i="1"/>
  <c r="P39" i="1"/>
  <c r="O39" i="1"/>
  <c r="N39" i="1"/>
  <c r="M39" i="1"/>
  <c r="U39" i="1" s="1"/>
  <c r="L39" i="1"/>
  <c r="F39" i="1"/>
  <c r="G39" i="1" s="1"/>
  <c r="E39" i="1"/>
  <c r="C39" i="1"/>
  <c r="B39" i="1"/>
  <c r="A39" i="1"/>
  <c r="AP38" i="1"/>
  <c r="AO38" i="1"/>
  <c r="AR38" i="1" s="1"/>
  <c r="AL38" i="1"/>
  <c r="AK38" i="1"/>
  <c r="AN38" i="1" s="1"/>
  <c r="AE38" i="1"/>
  <c r="AC38" i="1"/>
  <c r="AB38" i="1"/>
  <c r="AA38" i="1"/>
  <c r="Y38" i="1"/>
  <c r="Z38" i="1" s="1"/>
  <c r="X38" i="1"/>
  <c r="V38" i="1"/>
  <c r="T38" i="1"/>
  <c r="S38" i="1"/>
  <c r="R38" i="1"/>
  <c r="Q38" i="1"/>
  <c r="P38" i="1"/>
  <c r="O38" i="1"/>
  <c r="N38" i="1"/>
  <c r="M38" i="1"/>
  <c r="U38" i="1" s="1"/>
  <c r="L38" i="1"/>
  <c r="F38" i="1"/>
  <c r="E38" i="1"/>
  <c r="C38" i="1"/>
  <c r="B38" i="1"/>
  <c r="AQ37" i="1"/>
  <c r="AR37" i="1" s="1"/>
  <c r="AP37" i="1"/>
  <c r="AO37" i="1"/>
  <c r="AM37" i="1"/>
  <c r="AN37" i="1" s="1"/>
  <c r="AL37" i="1"/>
  <c r="AK37" i="1"/>
  <c r="AE37" i="1"/>
  <c r="AC37" i="1"/>
  <c r="AB37" i="1"/>
  <c r="AA37" i="1"/>
  <c r="Y37" i="1"/>
  <c r="X37" i="1"/>
  <c r="V37" i="1"/>
  <c r="T37" i="1"/>
  <c r="S37" i="1"/>
  <c r="R37" i="1"/>
  <c r="Q37" i="1"/>
  <c r="P37" i="1"/>
  <c r="O37" i="1"/>
  <c r="N37" i="1"/>
  <c r="M37" i="1"/>
  <c r="U37" i="1" s="1"/>
  <c r="L37" i="1"/>
  <c r="F37" i="1"/>
  <c r="E37" i="1"/>
  <c r="C37" i="1"/>
  <c r="B37" i="1"/>
  <c r="AP36" i="1"/>
  <c r="AO36" i="1"/>
  <c r="AL36" i="1"/>
  <c r="AK36" i="1"/>
  <c r="AE36" i="1"/>
  <c r="AC36" i="1"/>
  <c r="AB36" i="1"/>
  <c r="AA36" i="1"/>
  <c r="Y36" i="1"/>
  <c r="X36" i="1"/>
  <c r="V36" i="1"/>
  <c r="T36" i="1"/>
  <c r="S36" i="1"/>
  <c r="R36" i="1"/>
  <c r="Q36" i="1"/>
  <c r="P36" i="1"/>
  <c r="O36" i="1"/>
  <c r="N36" i="1"/>
  <c r="M36" i="1"/>
  <c r="U36" i="1" s="1"/>
  <c r="K36" i="1"/>
  <c r="L36" i="1" s="1"/>
  <c r="F36" i="1"/>
  <c r="G36" i="1" s="1"/>
  <c r="E36" i="1"/>
  <c r="C36" i="1"/>
  <c r="B36" i="1"/>
  <c r="A36" i="1"/>
  <c r="AP35" i="1"/>
  <c r="AO35" i="1"/>
  <c r="AR35" i="1" s="1"/>
  <c r="AL35" i="1"/>
  <c r="AK35" i="1"/>
  <c r="AN35" i="1" s="1"/>
  <c r="AE35" i="1"/>
  <c r="AC35" i="1"/>
  <c r="AB35" i="1"/>
  <c r="AA35" i="1"/>
  <c r="Y35" i="1"/>
  <c r="Z35" i="1" s="1"/>
  <c r="X35" i="1"/>
  <c r="V35" i="1"/>
  <c r="T35" i="1"/>
  <c r="S35" i="1"/>
  <c r="R35" i="1"/>
  <c r="Q35" i="1"/>
  <c r="P35" i="1"/>
  <c r="O35" i="1"/>
  <c r="N35" i="1"/>
  <c r="M35" i="1"/>
  <c r="U35" i="1" s="1"/>
  <c r="L35" i="1"/>
  <c r="F35" i="1"/>
  <c r="G35" i="1" s="1"/>
  <c r="E35" i="1"/>
  <c r="C35" i="1"/>
  <c r="B35" i="1"/>
  <c r="A35" i="1"/>
  <c r="AP34" i="1"/>
  <c r="AO34" i="1"/>
  <c r="AR34" i="1" s="1"/>
  <c r="AL34" i="1"/>
  <c r="AK34" i="1"/>
  <c r="AN34" i="1" s="1"/>
  <c r="AE34" i="1"/>
  <c r="AC34" i="1"/>
  <c r="AB34" i="1"/>
  <c r="AA34" i="1"/>
  <c r="Y34" i="1"/>
  <c r="X34" i="1"/>
  <c r="V34" i="1"/>
  <c r="T34" i="1"/>
  <c r="S34" i="1"/>
  <c r="R34" i="1"/>
  <c r="Q34" i="1"/>
  <c r="P34" i="1"/>
  <c r="O34" i="1"/>
  <c r="N34" i="1"/>
  <c r="M34" i="1"/>
  <c r="U34" i="1" s="1"/>
  <c r="L34" i="1"/>
  <c r="F34" i="1"/>
  <c r="G34" i="1" s="1"/>
  <c r="E34" i="1"/>
  <c r="C34" i="1"/>
  <c r="B34" i="1"/>
  <c r="A34" i="1"/>
  <c r="AP33" i="1"/>
  <c r="AO33" i="1"/>
  <c r="AR33" i="1" s="1"/>
  <c r="AL33" i="1"/>
  <c r="AK33" i="1"/>
  <c r="AN33" i="1" s="1"/>
  <c r="AE33" i="1"/>
  <c r="AC33" i="1"/>
  <c r="AB33" i="1"/>
  <c r="AA33" i="1"/>
  <c r="Y33" i="1"/>
  <c r="X33" i="1"/>
  <c r="V33" i="1"/>
  <c r="T33" i="1"/>
  <c r="S33" i="1"/>
  <c r="R33" i="1"/>
  <c r="Q33" i="1"/>
  <c r="P33" i="1"/>
  <c r="O33" i="1"/>
  <c r="N33" i="1"/>
  <c r="M33" i="1"/>
  <c r="U33" i="1" s="1"/>
  <c r="L33" i="1"/>
  <c r="F33" i="1"/>
  <c r="E33" i="1"/>
  <c r="C33" i="1"/>
  <c r="B33" i="1"/>
  <c r="AP32" i="1"/>
  <c r="AO32" i="1"/>
  <c r="AR32" i="1" s="1"/>
  <c r="AL32" i="1"/>
  <c r="AK32" i="1"/>
  <c r="AN32" i="1" s="1"/>
  <c r="AE32" i="1"/>
  <c r="AC32" i="1"/>
  <c r="AB32" i="1"/>
  <c r="AA32" i="1"/>
  <c r="Y32" i="1"/>
  <c r="Z32" i="1" s="1"/>
  <c r="X32" i="1"/>
  <c r="V32" i="1"/>
  <c r="T32" i="1"/>
  <c r="S32" i="1"/>
  <c r="R32" i="1"/>
  <c r="Q32" i="1"/>
  <c r="P32" i="1"/>
  <c r="O32" i="1"/>
  <c r="N32" i="1"/>
  <c r="M32" i="1"/>
  <c r="U32" i="1" s="1"/>
  <c r="L32" i="1"/>
  <c r="F32" i="1"/>
  <c r="G32" i="1" s="1"/>
  <c r="E32" i="1"/>
  <c r="C32" i="1"/>
  <c r="B32" i="1"/>
  <c r="A32" i="1"/>
  <c r="AP31" i="1"/>
  <c r="AO31" i="1"/>
  <c r="AL31" i="1"/>
  <c r="AK31" i="1"/>
  <c r="AE31" i="1"/>
  <c r="AC31" i="1"/>
  <c r="AB31" i="1"/>
  <c r="AA31" i="1"/>
  <c r="Y31" i="1"/>
  <c r="Z31" i="1" s="1"/>
  <c r="X31" i="1"/>
  <c r="V31" i="1"/>
  <c r="T31" i="1"/>
  <c r="S31" i="1"/>
  <c r="R31" i="1"/>
  <c r="Q31" i="1"/>
  <c r="P31" i="1"/>
  <c r="O31" i="1"/>
  <c r="N31" i="1"/>
  <c r="M31" i="1"/>
  <c r="U31" i="1" s="1"/>
  <c r="K31" i="1"/>
  <c r="L31" i="1" s="1"/>
  <c r="F31" i="1"/>
  <c r="G31" i="1" s="1"/>
  <c r="E31" i="1"/>
  <c r="C31" i="1"/>
  <c r="B31" i="1"/>
  <c r="A31" i="1"/>
  <c r="AP30" i="1"/>
  <c r="AO30" i="1"/>
  <c r="AR30" i="1" s="1"/>
  <c r="AL30" i="1"/>
  <c r="AK30" i="1"/>
  <c r="AN30" i="1" s="1"/>
  <c r="AE30" i="1"/>
  <c r="AC30" i="1"/>
  <c r="AB30" i="1"/>
  <c r="AA30" i="1"/>
  <c r="Y30" i="1"/>
  <c r="X30" i="1"/>
  <c r="V30" i="1"/>
  <c r="T30" i="1"/>
  <c r="S30" i="1"/>
  <c r="R30" i="1"/>
  <c r="Q30" i="1"/>
  <c r="P30" i="1"/>
  <c r="O30" i="1"/>
  <c r="N30" i="1"/>
  <c r="M30" i="1"/>
  <c r="U30" i="1" s="1"/>
  <c r="L30" i="1"/>
  <c r="F30" i="1"/>
  <c r="E30" i="1"/>
  <c r="C30" i="1"/>
  <c r="B30" i="1"/>
  <c r="AP29" i="1"/>
  <c r="AO29" i="1"/>
  <c r="AR29" i="1" s="1"/>
  <c r="AL29" i="1"/>
  <c r="AK29" i="1"/>
  <c r="AN29" i="1" s="1"/>
  <c r="AE29" i="1"/>
  <c r="AC29" i="1"/>
  <c r="AB29" i="1"/>
  <c r="AA29" i="1"/>
  <c r="Y29" i="1"/>
  <c r="X29" i="1"/>
  <c r="V29" i="1"/>
  <c r="T29" i="1"/>
  <c r="S29" i="1"/>
  <c r="R29" i="1"/>
  <c r="Q29" i="1"/>
  <c r="P29" i="1"/>
  <c r="O29" i="1"/>
  <c r="N29" i="1"/>
  <c r="M29" i="1"/>
  <c r="U29" i="1" s="1"/>
  <c r="L29" i="1"/>
  <c r="F29" i="1"/>
  <c r="G29" i="1" s="1"/>
  <c r="E29" i="1"/>
  <c r="C29" i="1"/>
  <c r="B29" i="1"/>
  <c r="A29" i="1"/>
  <c r="AP28" i="1"/>
  <c r="AO28" i="1"/>
  <c r="AR28" i="1" s="1"/>
  <c r="AL28" i="1"/>
  <c r="AK28" i="1"/>
  <c r="AN28" i="1" s="1"/>
  <c r="AE28" i="1"/>
  <c r="AC28" i="1"/>
  <c r="AB28" i="1"/>
  <c r="AA28" i="1"/>
  <c r="Y28" i="1"/>
  <c r="X28" i="1"/>
  <c r="V28" i="1"/>
  <c r="T28" i="1"/>
  <c r="S28" i="1"/>
  <c r="R28" i="1"/>
  <c r="Q28" i="1"/>
  <c r="P28" i="1"/>
  <c r="O28" i="1"/>
  <c r="N28" i="1"/>
  <c r="M28" i="1"/>
  <c r="U28" i="1" s="1"/>
  <c r="L28" i="1"/>
  <c r="F28" i="1"/>
  <c r="G28" i="1" s="1"/>
  <c r="E28" i="1"/>
  <c r="C28" i="1"/>
  <c r="B28" i="1"/>
  <c r="A28" i="1"/>
  <c r="AP27" i="1"/>
  <c r="AO27" i="1"/>
  <c r="AR27" i="1" s="1"/>
  <c r="AL27" i="1"/>
  <c r="AK27" i="1"/>
  <c r="AN27" i="1" s="1"/>
  <c r="AE27" i="1"/>
  <c r="AC27" i="1"/>
  <c r="AB27" i="1"/>
  <c r="AA27" i="1"/>
  <c r="Y27" i="1"/>
  <c r="Z27" i="1" s="1"/>
  <c r="X27" i="1"/>
  <c r="V27" i="1"/>
  <c r="T27" i="1"/>
  <c r="S27" i="1"/>
  <c r="R27" i="1"/>
  <c r="Q27" i="1"/>
  <c r="P27" i="1"/>
  <c r="O27" i="1"/>
  <c r="N27" i="1"/>
  <c r="M27" i="1"/>
  <c r="U27" i="1" s="1"/>
  <c r="L27" i="1"/>
  <c r="F27" i="1"/>
  <c r="G27" i="1" s="1"/>
  <c r="E27" i="1"/>
  <c r="C27" i="1"/>
  <c r="B27" i="1"/>
  <c r="A27" i="1"/>
  <c r="AQ26" i="1"/>
  <c r="AR26" i="1" s="1"/>
  <c r="AP26" i="1"/>
  <c r="AO26" i="1"/>
  <c r="AM26" i="1"/>
  <c r="AN26" i="1" s="1"/>
  <c r="AL26" i="1"/>
  <c r="AK26" i="1"/>
  <c r="AE26" i="1"/>
  <c r="AC26" i="1"/>
  <c r="AB26" i="1"/>
  <c r="AA26" i="1"/>
  <c r="Y26" i="1"/>
  <c r="Z26" i="1" s="1"/>
  <c r="X26" i="1"/>
  <c r="V26" i="1"/>
  <c r="T26" i="1"/>
  <c r="S26" i="1"/>
  <c r="R26" i="1"/>
  <c r="Q26" i="1"/>
  <c r="P26" i="1"/>
  <c r="O26" i="1"/>
  <c r="N26" i="1"/>
  <c r="M26" i="1"/>
  <c r="U26" i="1" s="1"/>
  <c r="L26" i="1"/>
  <c r="F26" i="1"/>
  <c r="E26" i="1"/>
  <c r="C26" i="1"/>
  <c r="B26" i="1"/>
  <c r="AP25" i="1"/>
  <c r="AO25" i="1"/>
  <c r="AR25" i="1" s="1"/>
  <c r="AL25" i="1"/>
  <c r="AK25" i="1"/>
  <c r="AN25" i="1" s="1"/>
  <c r="AE25" i="1"/>
  <c r="AC25" i="1"/>
  <c r="AB25" i="1"/>
  <c r="AA25" i="1"/>
  <c r="Y25" i="1"/>
  <c r="X25" i="1"/>
  <c r="V25" i="1"/>
  <c r="T25" i="1"/>
  <c r="S25" i="1"/>
  <c r="R25" i="1"/>
  <c r="Q25" i="1"/>
  <c r="P25" i="1"/>
  <c r="O25" i="1"/>
  <c r="N25" i="1"/>
  <c r="M25" i="1"/>
  <c r="U25" i="1" s="1"/>
  <c r="L25" i="1"/>
  <c r="F25" i="1"/>
  <c r="G25" i="1" s="1"/>
  <c r="E25" i="1"/>
  <c r="C25" i="1"/>
  <c r="B25" i="1"/>
  <c r="A25" i="1"/>
  <c r="AP24" i="1"/>
  <c r="AO24" i="1"/>
  <c r="AR24" i="1" s="1"/>
  <c r="AL24" i="1"/>
  <c r="AK24" i="1"/>
  <c r="AN24" i="1" s="1"/>
  <c r="AE24" i="1"/>
  <c r="AC24" i="1"/>
  <c r="AB24" i="1"/>
  <c r="AA24" i="1"/>
  <c r="Y24" i="1"/>
  <c r="X24" i="1"/>
  <c r="V24" i="1"/>
  <c r="T24" i="1"/>
  <c r="S24" i="1"/>
  <c r="R24" i="1"/>
  <c r="Q24" i="1"/>
  <c r="P24" i="1"/>
  <c r="O24" i="1"/>
  <c r="N24" i="1"/>
  <c r="M24" i="1"/>
  <c r="U24" i="1" s="1"/>
  <c r="L24" i="1"/>
  <c r="F24" i="1"/>
  <c r="G24" i="1" s="1"/>
  <c r="E24" i="1"/>
  <c r="C24" i="1"/>
  <c r="B24" i="1"/>
  <c r="A24" i="1"/>
  <c r="AP23" i="1"/>
  <c r="AO23" i="1"/>
  <c r="AR23" i="1" s="1"/>
  <c r="AL23" i="1"/>
  <c r="AK23" i="1"/>
  <c r="AN23" i="1" s="1"/>
  <c r="AE23" i="1"/>
  <c r="AC23" i="1"/>
  <c r="AB23" i="1"/>
  <c r="AA23" i="1"/>
  <c r="Y23" i="1"/>
  <c r="Z23" i="1" s="1"/>
  <c r="X23" i="1"/>
  <c r="V23" i="1"/>
  <c r="T23" i="1"/>
  <c r="S23" i="1"/>
  <c r="R23" i="1"/>
  <c r="Q23" i="1"/>
  <c r="P23" i="1"/>
  <c r="O23" i="1"/>
  <c r="N23" i="1"/>
  <c r="M23" i="1"/>
  <c r="U23" i="1" s="1"/>
  <c r="L23" i="1"/>
  <c r="F23" i="1"/>
  <c r="G23" i="1" s="1"/>
  <c r="E23" i="1"/>
  <c r="C23" i="1"/>
  <c r="B23" i="1"/>
  <c r="A23" i="1"/>
  <c r="AP22" i="1"/>
  <c r="AO22" i="1"/>
  <c r="AR22" i="1" s="1"/>
  <c r="AL22" i="1"/>
  <c r="AK22" i="1"/>
  <c r="AN22" i="1" s="1"/>
  <c r="AE22" i="1"/>
  <c r="AC22" i="1"/>
  <c r="AB22" i="1"/>
  <c r="AA22" i="1"/>
  <c r="Y22" i="1"/>
  <c r="Z22" i="1" s="1"/>
  <c r="X22" i="1"/>
  <c r="V22" i="1"/>
  <c r="T22" i="1"/>
  <c r="S22" i="1"/>
  <c r="R22" i="1"/>
  <c r="Q22" i="1"/>
  <c r="P22" i="1"/>
  <c r="O22" i="1"/>
  <c r="N22" i="1"/>
  <c r="M22" i="1"/>
  <c r="U22" i="1" s="1"/>
  <c r="L22" i="1"/>
  <c r="F22" i="1"/>
  <c r="E22" i="1"/>
  <c r="C22" i="1"/>
  <c r="B22" i="1"/>
  <c r="AP21" i="1"/>
  <c r="AO21" i="1"/>
  <c r="AR21" i="1" s="1"/>
  <c r="AL21" i="1"/>
  <c r="AK21" i="1"/>
  <c r="AN21" i="1" s="1"/>
  <c r="AE21" i="1"/>
  <c r="AC21" i="1"/>
  <c r="AB21" i="1"/>
  <c r="AA21" i="1"/>
  <c r="Y21" i="1"/>
  <c r="X21" i="1"/>
  <c r="V21" i="1"/>
  <c r="T21" i="1"/>
  <c r="S21" i="1"/>
  <c r="R21" i="1"/>
  <c r="Q21" i="1"/>
  <c r="P21" i="1"/>
  <c r="O21" i="1"/>
  <c r="N21" i="1"/>
  <c r="M21" i="1"/>
  <c r="U21" i="1" s="1"/>
  <c r="L21" i="1"/>
  <c r="F21" i="1"/>
  <c r="E21" i="1"/>
  <c r="C21" i="1"/>
  <c r="B21" i="1"/>
  <c r="AP20" i="1"/>
  <c r="AO20" i="1"/>
  <c r="AR20" i="1" s="1"/>
  <c r="AL20" i="1"/>
  <c r="AK20" i="1"/>
  <c r="AN20" i="1" s="1"/>
  <c r="AE20" i="1"/>
  <c r="AC20" i="1"/>
  <c r="AB20" i="1"/>
  <c r="AA20" i="1"/>
  <c r="Y20" i="1"/>
  <c r="Z20" i="1" s="1"/>
  <c r="X20" i="1"/>
  <c r="V20" i="1"/>
  <c r="T20" i="1"/>
  <c r="S20" i="1"/>
  <c r="R20" i="1"/>
  <c r="Q20" i="1"/>
  <c r="P20" i="1"/>
  <c r="O20" i="1"/>
  <c r="N20" i="1"/>
  <c r="M20" i="1"/>
  <c r="L20" i="1"/>
  <c r="F20" i="1"/>
  <c r="G20" i="1" s="1"/>
  <c r="E20" i="1"/>
  <c r="C20" i="1"/>
  <c r="B20" i="1"/>
  <c r="A20" i="1"/>
  <c r="AP19" i="1"/>
  <c r="AO19" i="1"/>
  <c r="AR19" i="1" s="1"/>
  <c r="AL19" i="1"/>
  <c r="AK19" i="1"/>
  <c r="AN19" i="1" s="1"/>
  <c r="AE19" i="1"/>
  <c r="AC19" i="1"/>
  <c r="AB19" i="1"/>
  <c r="AA19" i="1"/>
  <c r="Y19" i="1"/>
  <c r="X19" i="1"/>
  <c r="V19" i="1"/>
  <c r="T19" i="1"/>
  <c r="S19" i="1"/>
  <c r="R19" i="1"/>
  <c r="Q19" i="1"/>
  <c r="P19" i="1"/>
  <c r="O19" i="1"/>
  <c r="N19" i="1"/>
  <c r="M19" i="1"/>
  <c r="U19" i="1" s="1"/>
  <c r="L19" i="1"/>
  <c r="F19" i="1"/>
  <c r="G19" i="1" s="1"/>
  <c r="E19" i="1"/>
  <c r="C19" i="1"/>
  <c r="B19" i="1"/>
  <c r="A19" i="1"/>
  <c r="AP18" i="1"/>
  <c r="AO18" i="1"/>
  <c r="AR18" i="1" s="1"/>
  <c r="AL18" i="1"/>
  <c r="AK18" i="1"/>
  <c r="AN18" i="1" s="1"/>
  <c r="AE18" i="1"/>
  <c r="AC18" i="1"/>
  <c r="AB18" i="1"/>
  <c r="AA18" i="1"/>
  <c r="Y18" i="1"/>
  <c r="Z18" i="1" s="1"/>
  <c r="X18" i="1"/>
  <c r="V18" i="1"/>
  <c r="T18" i="1"/>
  <c r="S18" i="1"/>
  <c r="R18" i="1"/>
  <c r="Q18" i="1"/>
  <c r="P18" i="1"/>
  <c r="O18" i="1"/>
  <c r="N18" i="1"/>
  <c r="M18" i="1"/>
  <c r="U18" i="1" s="1"/>
  <c r="L18" i="1"/>
  <c r="F18" i="1"/>
  <c r="G18" i="1" s="1"/>
  <c r="E18" i="1"/>
  <c r="C18" i="1"/>
  <c r="B18" i="1"/>
  <c r="A18" i="1"/>
  <c r="AQ17" i="1"/>
  <c r="AR17" i="1" s="1"/>
  <c r="AP17" i="1"/>
  <c r="AO17" i="1"/>
  <c r="AM17" i="1"/>
  <c r="AN17" i="1" s="1"/>
  <c r="AL17" i="1"/>
  <c r="AK17" i="1"/>
  <c r="AE17" i="1"/>
  <c r="AC17" i="1"/>
  <c r="AB17" i="1"/>
  <c r="AA17" i="1"/>
  <c r="Y17" i="1"/>
  <c r="Z17" i="1" s="1"/>
  <c r="X17" i="1"/>
  <c r="V17" i="1"/>
  <c r="T17" i="1"/>
  <c r="S17" i="1"/>
  <c r="R17" i="1"/>
  <c r="Q17" i="1"/>
  <c r="P17" i="1"/>
  <c r="O17" i="1"/>
  <c r="N17" i="1"/>
  <c r="M17" i="1"/>
  <c r="U17" i="1" s="1"/>
  <c r="L17" i="1"/>
  <c r="F17" i="1"/>
  <c r="G17" i="1" s="1"/>
  <c r="E17" i="1"/>
  <c r="C17" i="1"/>
  <c r="B17" i="1"/>
  <c r="A17" i="1"/>
  <c r="AP16" i="1"/>
  <c r="AO16" i="1"/>
  <c r="AL16" i="1"/>
  <c r="AK16" i="1"/>
  <c r="AE16" i="1"/>
  <c r="AC16" i="1"/>
  <c r="AB16" i="1"/>
  <c r="AA16" i="1"/>
  <c r="Y16" i="1"/>
  <c r="X16" i="1"/>
  <c r="V16" i="1"/>
  <c r="T16" i="1"/>
  <c r="S16" i="1"/>
  <c r="R16" i="1"/>
  <c r="Q16" i="1"/>
  <c r="P16" i="1"/>
  <c r="O16" i="1"/>
  <c r="N16" i="1"/>
  <c r="M16" i="1"/>
  <c r="U16" i="1" s="1"/>
  <c r="K16" i="1"/>
  <c r="L16" i="1" s="1"/>
  <c r="F16" i="1"/>
  <c r="G16" i="1" s="1"/>
  <c r="E16" i="1"/>
  <c r="C16" i="1"/>
  <c r="B16" i="1"/>
  <c r="A16" i="1"/>
  <c r="AP15" i="1"/>
  <c r="AO15" i="1"/>
  <c r="AR15" i="1" s="1"/>
  <c r="AL15" i="1"/>
  <c r="AK15" i="1"/>
  <c r="AN15" i="1" s="1"/>
  <c r="AE15" i="1"/>
  <c r="AC15" i="1"/>
  <c r="AB15" i="1"/>
  <c r="AA15" i="1"/>
  <c r="Y15" i="1"/>
  <c r="X15" i="1"/>
  <c r="V15" i="1"/>
  <c r="T15" i="1"/>
  <c r="S15" i="1"/>
  <c r="R15" i="1"/>
  <c r="Q15" i="1"/>
  <c r="P15" i="1"/>
  <c r="O15" i="1"/>
  <c r="N15" i="1"/>
  <c r="M15" i="1"/>
  <c r="U15" i="1" s="1"/>
  <c r="L15" i="1"/>
  <c r="F15" i="1"/>
  <c r="G15" i="1" s="1"/>
  <c r="E15" i="1"/>
  <c r="C15" i="1"/>
  <c r="B15" i="1"/>
  <c r="A15" i="1"/>
  <c r="AP14" i="1"/>
  <c r="AO14" i="1"/>
  <c r="AR14" i="1" s="1"/>
  <c r="AL14" i="1"/>
  <c r="AK14" i="1"/>
  <c r="AN14" i="1" s="1"/>
  <c r="AE14" i="1"/>
  <c r="AC14" i="1"/>
  <c r="AB14" i="1"/>
  <c r="AA14" i="1"/>
  <c r="Y14" i="1"/>
  <c r="Z14" i="1" s="1"/>
  <c r="X14" i="1"/>
  <c r="V14" i="1"/>
  <c r="T14" i="1"/>
  <c r="S14" i="1"/>
  <c r="R14" i="1"/>
  <c r="Q14" i="1"/>
  <c r="P14" i="1"/>
  <c r="O14" i="1"/>
  <c r="N14" i="1"/>
  <c r="M14" i="1"/>
  <c r="U14" i="1" s="1"/>
  <c r="L14" i="1"/>
  <c r="F14" i="1"/>
  <c r="G14" i="1" s="1"/>
  <c r="E14" i="1"/>
  <c r="C14" i="1"/>
  <c r="B14" i="1"/>
  <c r="A14" i="1"/>
  <c r="AP13" i="1"/>
  <c r="AO13" i="1"/>
  <c r="AR13" i="1" s="1"/>
  <c r="AL13" i="1"/>
  <c r="AK13" i="1"/>
  <c r="AN13" i="1" s="1"/>
  <c r="AE13" i="1"/>
  <c r="AC13" i="1"/>
  <c r="AB13" i="1"/>
  <c r="AA13" i="1"/>
  <c r="Y13" i="1"/>
  <c r="Z13" i="1" s="1"/>
  <c r="X13" i="1"/>
  <c r="V13" i="1"/>
  <c r="T13" i="1"/>
  <c r="S13" i="1"/>
  <c r="R13" i="1"/>
  <c r="Q13" i="1"/>
  <c r="P13" i="1"/>
  <c r="O13" i="1"/>
  <c r="N13" i="1"/>
  <c r="M13" i="1"/>
  <c r="L13" i="1"/>
  <c r="F13" i="1"/>
  <c r="G13" i="1" s="1"/>
  <c r="E13" i="1"/>
  <c r="C13" i="1"/>
  <c r="B13" i="1"/>
  <c r="A13" i="1"/>
  <c r="AP12" i="1"/>
  <c r="AO12" i="1"/>
  <c r="AR12" i="1" s="1"/>
  <c r="AL12" i="1"/>
  <c r="AK12" i="1"/>
  <c r="AN12" i="1" s="1"/>
  <c r="AE12" i="1"/>
  <c r="AC12" i="1"/>
  <c r="AB12" i="1"/>
  <c r="AA12" i="1"/>
  <c r="Y12" i="1"/>
  <c r="Z12" i="1" s="1"/>
  <c r="X12" i="1"/>
  <c r="V12" i="1"/>
  <c r="T12" i="1"/>
  <c r="S12" i="1"/>
  <c r="R12" i="1"/>
  <c r="Q12" i="1"/>
  <c r="P12" i="1"/>
  <c r="O12" i="1"/>
  <c r="N12" i="1"/>
  <c r="M12" i="1"/>
  <c r="U12" i="1" s="1"/>
  <c r="L12" i="1"/>
  <c r="F12" i="1"/>
  <c r="G12" i="1" s="1"/>
  <c r="E12" i="1"/>
  <c r="C12" i="1"/>
  <c r="B12" i="1"/>
  <c r="A12" i="1"/>
  <c r="AP11" i="1"/>
  <c r="AO11" i="1"/>
  <c r="AL11" i="1"/>
  <c r="AK11" i="1"/>
  <c r="AE11" i="1"/>
  <c r="AC11" i="1"/>
  <c r="AB11" i="1"/>
  <c r="AA11" i="1"/>
  <c r="Y11" i="1"/>
  <c r="Z11" i="1" s="1"/>
  <c r="X11" i="1"/>
  <c r="V11" i="1"/>
  <c r="T11" i="1"/>
  <c r="S11" i="1"/>
  <c r="R11" i="1"/>
  <c r="Q11" i="1"/>
  <c r="P11" i="1"/>
  <c r="O11" i="1"/>
  <c r="N11" i="1"/>
  <c r="M11" i="1"/>
  <c r="U11" i="1" s="1"/>
  <c r="K11" i="1"/>
  <c r="F11" i="1"/>
  <c r="G11" i="1" s="1"/>
  <c r="E11" i="1"/>
  <c r="C11" i="1"/>
  <c r="B11" i="1"/>
  <c r="A11" i="1"/>
  <c r="AP10" i="1"/>
  <c r="AO10" i="1"/>
  <c r="AR10" i="1" s="1"/>
  <c r="AL10" i="1"/>
  <c r="AK10" i="1"/>
  <c r="AN10" i="1" s="1"/>
  <c r="AE10" i="1"/>
  <c r="AC10" i="1"/>
  <c r="AB10" i="1"/>
  <c r="AA10" i="1"/>
  <c r="Y10" i="1"/>
  <c r="X10" i="1"/>
  <c r="V10" i="1"/>
  <c r="T10" i="1"/>
  <c r="S10" i="1"/>
  <c r="R10" i="1"/>
  <c r="Q10" i="1"/>
  <c r="P10" i="1"/>
  <c r="O10" i="1"/>
  <c r="N10" i="1"/>
  <c r="M10" i="1"/>
  <c r="U10" i="1" s="1"/>
  <c r="F10" i="1"/>
  <c r="G10" i="1" s="1"/>
  <c r="E10" i="1"/>
  <c r="C10" i="1"/>
  <c r="B10" i="1"/>
  <c r="A10" i="1"/>
  <c r="AP9" i="1"/>
  <c r="AO9" i="1"/>
  <c r="AR9" i="1" s="1"/>
  <c r="AL9" i="1"/>
  <c r="AK9" i="1"/>
  <c r="AN9" i="1" s="1"/>
  <c r="AE9" i="1"/>
  <c r="AC9" i="1"/>
  <c r="AB9" i="1"/>
  <c r="AA9" i="1"/>
  <c r="Y9" i="1"/>
  <c r="Z9" i="1" s="1"/>
  <c r="X9" i="1"/>
  <c r="V9" i="1"/>
  <c r="T9" i="1"/>
  <c r="S9" i="1"/>
  <c r="R9" i="1"/>
  <c r="Q9" i="1"/>
  <c r="P9" i="1"/>
  <c r="O9" i="1"/>
  <c r="N9" i="1"/>
  <c r="M9" i="1"/>
  <c r="U9" i="1" s="1"/>
  <c r="L9" i="1"/>
  <c r="F9" i="1"/>
  <c r="G9" i="1" s="1"/>
  <c r="E9" i="1"/>
  <c r="C9" i="1"/>
  <c r="B9" i="1"/>
  <c r="A9" i="1"/>
  <c r="AP8" i="1"/>
  <c r="AO8" i="1"/>
  <c r="AR8" i="1" s="1"/>
  <c r="AL8" i="1"/>
  <c r="AK8" i="1"/>
  <c r="AN8" i="1" s="1"/>
  <c r="AE8" i="1"/>
  <c r="AC8" i="1"/>
  <c r="AB8" i="1"/>
  <c r="AA8" i="1"/>
  <c r="Y8" i="1"/>
  <c r="Z8" i="1" s="1"/>
  <c r="X8" i="1"/>
  <c r="V8" i="1"/>
  <c r="T8" i="1"/>
  <c r="S8" i="1"/>
  <c r="R8" i="1"/>
  <c r="Q8" i="1"/>
  <c r="P8" i="1"/>
  <c r="O8" i="1"/>
  <c r="N8" i="1"/>
  <c r="M8" i="1"/>
  <c r="U8" i="1" s="1"/>
  <c r="L8" i="1"/>
  <c r="F8" i="1"/>
  <c r="E8" i="1"/>
  <c r="C8" i="1"/>
  <c r="B8" i="1"/>
  <c r="AP7" i="1"/>
  <c r="AO7" i="1"/>
  <c r="AR7" i="1" s="1"/>
  <c r="AL7" i="1"/>
  <c r="AK7" i="1"/>
  <c r="AN7" i="1" s="1"/>
  <c r="AE7" i="1"/>
  <c r="AC7" i="1"/>
  <c r="AB7" i="1"/>
  <c r="AA7" i="1"/>
  <c r="Y7" i="1"/>
  <c r="Z7" i="1" s="1"/>
  <c r="X7" i="1"/>
  <c r="V7" i="1"/>
  <c r="T7" i="1"/>
  <c r="S7" i="1"/>
  <c r="R7" i="1"/>
  <c r="Q7" i="1"/>
  <c r="P7" i="1"/>
  <c r="O7" i="1"/>
  <c r="N7" i="1"/>
  <c r="M7" i="1"/>
  <c r="U7" i="1" s="1"/>
  <c r="L7" i="1"/>
  <c r="F7" i="1"/>
  <c r="G7" i="1" s="1"/>
  <c r="E7" i="1"/>
  <c r="C7" i="1"/>
  <c r="B7" i="1"/>
  <c r="A7" i="1"/>
  <c r="AQ6" i="1"/>
  <c r="AR6" i="1" s="1"/>
  <c r="AP6" i="1"/>
  <c r="AO6" i="1"/>
  <c r="AM6" i="1"/>
  <c r="AN6" i="1" s="1"/>
  <c r="AL6" i="1"/>
  <c r="AK6" i="1"/>
  <c r="AE6" i="1"/>
  <c r="AC6" i="1"/>
  <c r="AB6" i="1"/>
  <c r="AA6" i="1"/>
  <c r="Y6" i="1"/>
  <c r="X6" i="1"/>
  <c r="V6" i="1"/>
  <c r="T6" i="1"/>
  <c r="S6" i="1"/>
  <c r="R6" i="1"/>
  <c r="Q6" i="1"/>
  <c r="P6" i="1"/>
  <c r="O6" i="1"/>
  <c r="N6" i="1"/>
  <c r="M6" i="1"/>
  <c r="U6" i="1" s="1"/>
  <c r="L6" i="1"/>
  <c r="F6" i="1"/>
  <c r="E6" i="1"/>
  <c r="C6" i="1"/>
  <c r="B6" i="1"/>
  <c r="AP5" i="1"/>
  <c r="AO5" i="1"/>
  <c r="AR5" i="1" s="1"/>
  <c r="AL5" i="1"/>
  <c r="AK5" i="1"/>
  <c r="AN5" i="1" s="1"/>
  <c r="AE5" i="1"/>
  <c r="AC5" i="1"/>
  <c r="AB5" i="1"/>
  <c r="AA5" i="1"/>
  <c r="Y5" i="1"/>
  <c r="Z5" i="1" s="1"/>
  <c r="X5" i="1"/>
  <c r="V5" i="1"/>
  <c r="T5" i="1"/>
  <c r="S5" i="1"/>
  <c r="R5" i="1"/>
  <c r="Q5" i="1"/>
  <c r="P5" i="1"/>
  <c r="O5" i="1"/>
  <c r="N5" i="1"/>
  <c r="M5" i="1"/>
  <c r="U5" i="1" s="1"/>
  <c r="L5" i="1"/>
  <c r="F5" i="1"/>
  <c r="G5" i="1" s="1"/>
  <c r="E5" i="1"/>
  <c r="C5" i="1"/>
  <c r="B5" i="1"/>
  <c r="A5" i="1"/>
  <c r="AP4" i="1"/>
  <c r="AO4" i="1"/>
  <c r="AR4" i="1" s="1"/>
  <c r="AL4" i="1"/>
  <c r="AK4" i="1"/>
  <c r="AN4" i="1" s="1"/>
  <c r="AE4" i="1"/>
  <c r="AC4" i="1"/>
  <c r="AB4" i="1"/>
  <c r="AA4" i="1"/>
  <c r="Y4" i="1"/>
  <c r="X4" i="1"/>
  <c r="V4" i="1"/>
  <c r="T4" i="1"/>
  <c r="S4" i="1"/>
  <c r="R4" i="1"/>
  <c r="Q4" i="1"/>
  <c r="P4" i="1"/>
  <c r="O4" i="1"/>
  <c r="N4" i="1"/>
  <c r="M4" i="1"/>
  <c r="U4" i="1" s="1"/>
  <c r="L4" i="1"/>
  <c r="F4" i="1"/>
  <c r="G4" i="1" s="1"/>
  <c r="E4" i="1"/>
  <c r="C4" i="1"/>
  <c r="B4" i="1"/>
  <c r="A4" i="1"/>
  <c r="AP3" i="1"/>
  <c r="AO3" i="1"/>
  <c r="AR3" i="1" s="1"/>
  <c r="AL3" i="1"/>
  <c r="AK3" i="1"/>
  <c r="AN3" i="1" s="1"/>
  <c r="AE3" i="1"/>
  <c r="AC3" i="1"/>
  <c r="AB3" i="1"/>
  <c r="AA3" i="1"/>
  <c r="Y3" i="1"/>
  <c r="X3" i="1"/>
  <c r="V3" i="1"/>
  <c r="T3" i="1"/>
  <c r="S3" i="1"/>
  <c r="R3" i="1"/>
  <c r="Q3" i="1"/>
  <c r="P3" i="1"/>
  <c r="O3" i="1"/>
  <c r="N3" i="1"/>
  <c r="M3" i="1"/>
  <c r="U3" i="1" s="1"/>
  <c r="L3" i="1"/>
  <c r="G3" i="1"/>
  <c r="C3" i="1"/>
  <c r="B3" i="1"/>
  <c r="A3" i="1"/>
  <c r="Z728" i="1" l="1"/>
  <c r="AR727" i="1"/>
  <c r="AN727" i="1"/>
  <c r="Z727" i="1"/>
  <c r="Z726" i="1"/>
  <c r="AR725" i="1"/>
  <c r="AN725" i="1"/>
  <c r="Z725" i="1"/>
  <c r="Z724" i="1"/>
  <c r="Z723" i="1"/>
  <c r="AR722" i="1"/>
  <c r="AN722" i="1"/>
  <c r="Z722" i="1"/>
  <c r="Z721" i="1"/>
  <c r="Z720" i="1"/>
  <c r="Z719" i="1"/>
  <c r="AR718" i="1"/>
  <c r="AN718" i="1"/>
  <c r="Z718" i="1"/>
  <c r="Z717" i="1"/>
  <c r="Z716" i="1"/>
  <c r="Z715" i="1"/>
  <c r="Z714" i="1"/>
  <c r="Z713" i="1"/>
  <c r="Z712" i="1"/>
  <c r="Z711" i="1"/>
  <c r="AR710" i="1"/>
  <c r="AN710" i="1"/>
  <c r="Z710" i="1"/>
  <c r="Z709" i="1"/>
  <c r="AR708" i="1"/>
  <c r="AN708" i="1"/>
  <c r="Z708" i="1"/>
  <c r="Z707" i="1"/>
  <c r="U702" i="1"/>
  <c r="U700" i="1"/>
  <c r="Z699" i="1"/>
  <c r="Z698" i="1"/>
  <c r="Z694" i="1"/>
  <c r="Z690" i="1"/>
  <c r="Z689" i="1"/>
  <c r="AN688" i="1"/>
  <c r="Z685" i="1"/>
  <c r="Z684" i="1"/>
  <c r="U643" i="1"/>
  <c r="Z587" i="1"/>
  <c r="AR582" i="1"/>
  <c r="AN385" i="1"/>
  <c r="U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AR655" i="1"/>
  <c r="AN655" i="1"/>
  <c r="Z655" i="1"/>
  <c r="Z654" i="1"/>
  <c r="Z653" i="1"/>
  <c r="Z652" i="1"/>
  <c r="Z651" i="1"/>
  <c r="AR650" i="1"/>
  <c r="AN650" i="1"/>
  <c r="Z650" i="1"/>
  <c r="Z649" i="1"/>
  <c r="Z644" i="1"/>
  <c r="Z636" i="1"/>
  <c r="Z634" i="1"/>
  <c r="U592" i="1"/>
  <c r="AN587" i="1"/>
  <c r="Z443" i="1"/>
  <c r="Z629" i="1"/>
  <c r="Z628" i="1"/>
  <c r="Z627" i="1"/>
  <c r="Z626" i="1"/>
  <c r="Z625" i="1"/>
  <c r="Z624" i="1"/>
  <c r="AR623" i="1"/>
  <c r="AN623" i="1"/>
  <c r="Z623" i="1"/>
  <c r="Z622" i="1"/>
  <c r="Z621" i="1"/>
  <c r="Z620" i="1"/>
  <c r="Z619" i="1"/>
  <c r="AR618" i="1"/>
  <c r="AN618" i="1"/>
  <c r="Z618" i="1"/>
  <c r="Z617" i="1"/>
  <c r="Z616" i="1"/>
  <c r="Z615" i="1"/>
  <c r="Z614" i="1"/>
  <c r="Z613" i="1"/>
  <c r="AR612" i="1"/>
  <c r="AN612" i="1"/>
  <c r="Z612" i="1"/>
  <c r="Z611" i="1"/>
  <c r="Z610" i="1"/>
  <c r="AR609" i="1"/>
  <c r="AN609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AR596" i="1"/>
  <c r="AN596" i="1"/>
  <c r="Z596" i="1"/>
  <c r="Z595" i="1"/>
  <c r="AN591" i="1"/>
  <c r="Z586" i="1"/>
  <c r="Z580" i="1"/>
  <c r="Z579" i="1"/>
  <c r="Z578" i="1"/>
  <c r="Z577" i="1"/>
  <c r="AR576" i="1"/>
  <c r="AN576" i="1"/>
  <c r="Z576" i="1"/>
  <c r="Z575" i="1"/>
  <c r="AR574" i="1"/>
  <c r="AN574" i="1"/>
  <c r="Z574" i="1"/>
  <c r="Z573" i="1"/>
  <c r="Z572" i="1"/>
  <c r="AR571" i="1"/>
  <c r="AN571" i="1"/>
  <c r="Z571" i="1"/>
  <c r="Z570" i="1"/>
  <c r="Z569" i="1"/>
  <c r="AR568" i="1"/>
  <c r="AN568" i="1"/>
  <c r="Z568" i="1"/>
  <c r="Z567" i="1"/>
  <c r="Z566" i="1"/>
  <c r="Z565" i="1"/>
  <c r="Z564" i="1"/>
  <c r="Z563" i="1"/>
  <c r="AR562" i="1"/>
  <c r="AN562" i="1"/>
  <c r="Z562" i="1"/>
  <c r="Z561" i="1"/>
  <c r="Z560" i="1"/>
  <c r="AR559" i="1"/>
  <c r="AN559" i="1"/>
  <c r="Z559" i="1"/>
  <c r="Z558" i="1"/>
  <c r="Z557" i="1"/>
  <c r="Z556" i="1"/>
  <c r="Z555" i="1"/>
  <c r="AR554" i="1"/>
  <c r="AN554" i="1"/>
  <c r="Z554" i="1"/>
  <c r="Z553" i="1"/>
  <c r="Z552" i="1"/>
  <c r="Z551" i="1"/>
  <c r="Z550" i="1"/>
  <c r="Z549" i="1"/>
  <c r="Z548" i="1"/>
  <c r="AR547" i="1"/>
  <c r="AN547" i="1"/>
  <c r="Z547" i="1"/>
  <c r="Z546" i="1"/>
  <c r="Z545" i="1"/>
  <c r="Z544" i="1"/>
  <c r="Z543" i="1"/>
  <c r="Z542" i="1"/>
  <c r="Z541" i="1"/>
  <c r="AR540" i="1"/>
  <c r="AN540" i="1"/>
  <c r="Z540" i="1"/>
  <c r="Z539" i="1"/>
  <c r="Z538" i="1"/>
  <c r="Z537" i="1"/>
  <c r="Z536" i="1"/>
  <c r="Z535" i="1"/>
  <c r="Z534" i="1"/>
  <c r="Z533" i="1"/>
  <c r="Z532" i="1"/>
  <c r="Z531" i="1"/>
  <c r="AN490" i="1"/>
  <c r="Z490" i="1"/>
  <c r="Z489" i="1"/>
  <c r="U489" i="1"/>
  <c r="AN485" i="1"/>
  <c r="U441" i="1"/>
  <c r="AR438" i="1"/>
  <c r="U434" i="1"/>
  <c r="Z530" i="1"/>
  <c r="Z529" i="1"/>
  <c r="Z528" i="1"/>
  <c r="AR527" i="1"/>
  <c r="AN527" i="1"/>
  <c r="Z527" i="1"/>
  <c r="Z526" i="1"/>
  <c r="Z525" i="1"/>
  <c r="Z524" i="1"/>
  <c r="Z523" i="1"/>
  <c r="Z522" i="1"/>
  <c r="Z521" i="1"/>
  <c r="AR520" i="1"/>
  <c r="AN520" i="1"/>
  <c r="Z520" i="1"/>
  <c r="Z519" i="1"/>
  <c r="Z518" i="1"/>
  <c r="Z517" i="1"/>
  <c r="Z516" i="1"/>
  <c r="Z515" i="1"/>
  <c r="Z514" i="1"/>
  <c r="Z513" i="1"/>
  <c r="Z512" i="1"/>
  <c r="Z511" i="1"/>
  <c r="Z510" i="1"/>
  <c r="AR509" i="1"/>
  <c r="AN509" i="1"/>
  <c r="Z509" i="1"/>
  <c r="Z508" i="1"/>
  <c r="Z507" i="1"/>
  <c r="Z506" i="1"/>
  <c r="Z505" i="1"/>
  <c r="Z504" i="1"/>
  <c r="AR503" i="1"/>
  <c r="AN503" i="1"/>
  <c r="Z503" i="1"/>
  <c r="Z502" i="1"/>
  <c r="Z501" i="1"/>
  <c r="Z500" i="1"/>
  <c r="Z499" i="1"/>
  <c r="Z498" i="1"/>
  <c r="Z497" i="1"/>
  <c r="AR496" i="1"/>
  <c r="AN496" i="1"/>
  <c r="Z496" i="1"/>
  <c r="Z495" i="1"/>
  <c r="Z494" i="1"/>
  <c r="Z493" i="1"/>
  <c r="Z492" i="1"/>
  <c r="AD492" i="1" s="1"/>
  <c r="AF492" i="1" s="1"/>
  <c r="AG492" i="1" s="1"/>
  <c r="AH492" i="1" s="1"/>
  <c r="AR490" i="1"/>
  <c r="Z488" i="1"/>
  <c r="Z487" i="1"/>
  <c r="Z486" i="1"/>
  <c r="AR485" i="1"/>
  <c r="Z440" i="1"/>
  <c r="U481" i="1"/>
  <c r="Z480" i="1"/>
  <c r="Z479" i="1"/>
  <c r="Z478" i="1"/>
  <c r="AR477" i="1"/>
  <c r="AN477" i="1"/>
  <c r="Z477" i="1"/>
  <c r="Z476" i="1"/>
  <c r="Z475" i="1"/>
  <c r="Z474" i="1"/>
  <c r="Z473" i="1"/>
  <c r="AR472" i="1"/>
  <c r="AN472" i="1"/>
  <c r="Z472" i="1"/>
  <c r="Z471" i="1"/>
  <c r="Z470" i="1"/>
  <c r="AR469" i="1"/>
  <c r="AN469" i="1"/>
  <c r="Z469" i="1"/>
  <c r="Z468" i="1"/>
  <c r="Z467" i="1"/>
  <c r="AR466" i="1"/>
  <c r="AN466" i="1"/>
  <c r="Z466" i="1"/>
  <c r="Z465" i="1"/>
  <c r="AR464" i="1"/>
  <c r="AN464" i="1"/>
  <c r="Z464" i="1"/>
  <c r="Z463" i="1"/>
  <c r="Z462" i="1"/>
  <c r="Z461" i="1"/>
  <c r="AR460" i="1"/>
  <c r="AN460" i="1"/>
  <c r="Z460" i="1"/>
  <c r="Z459" i="1"/>
  <c r="Z458" i="1"/>
  <c r="Z457" i="1"/>
  <c r="AR456" i="1"/>
  <c r="AN456" i="1"/>
  <c r="Z456" i="1"/>
  <c r="Z455" i="1"/>
  <c r="Z454" i="1"/>
  <c r="Z453" i="1"/>
  <c r="Z452" i="1"/>
  <c r="Z451" i="1"/>
  <c r="Z450" i="1"/>
  <c r="Z449" i="1"/>
  <c r="Z448" i="1"/>
  <c r="AR447" i="1"/>
  <c r="AN447" i="1"/>
  <c r="Z447" i="1"/>
  <c r="Z446" i="1"/>
  <c r="AR445" i="1"/>
  <c r="AN445" i="1"/>
  <c r="Z432" i="1"/>
  <c r="Z431" i="1"/>
  <c r="Z430" i="1"/>
  <c r="Z429" i="1"/>
  <c r="Z428" i="1"/>
  <c r="Z427" i="1"/>
  <c r="Z426" i="1"/>
  <c r="Z425" i="1"/>
  <c r="Z424" i="1"/>
  <c r="AR423" i="1"/>
  <c r="AN423" i="1"/>
  <c r="Z423" i="1"/>
  <c r="Z422" i="1"/>
  <c r="Z421" i="1"/>
  <c r="AR420" i="1"/>
  <c r="AN420" i="1"/>
  <c r="Z420" i="1"/>
  <c r="Z419" i="1"/>
  <c r="Z418" i="1"/>
  <c r="Z417" i="1"/>
  <c r="Z416" i="1"/>
  <c r="Z415" i="1"/>
  <c r="AR414" i="1"/>
  <c r="AN414" i="1"/>
  <c r="Z414" i="1"/>
  <c r="Z413" i="1"/>
  <c r="Z412" i="1"/>
  <c r="Z411" i="1"/>
  <c r="Z410" i="1"/>
  <c r="Z409" i="1"/>
  <c r="Z408" i="1"/>
  <c r="AR407" i="1"/>
  <c r="AN407" i="1"/>
  <c r="Z407" i="1"/>
  <c r="Z406" i="1"/>
  <c r="Z405" i="1"/>
  <c r="Z404" i="1"/>
  <c r="AR403" i="1"/>
  <c r="AN403" i="1"/>
  <c r="Z403" i="1"/>
  <c r="Z402" i="1"/>
  <c r="Z401" i="1"/>
  <c r="AR400" i="1"/>
  <c r="AN400" i="1"/>
  <c r="Z400" i="1"/>
  <c r="Z399" i="1"/>
  <c r="Z398" i="1"/>
  <c r="Z397" i="1"/>
  <c r="Z396" i="1"/>
  <c r="Z395" i="1"/>
  <c r="Z394" i="1"/>
  <c r="AR393" i="1"/>
  <c r="AN393" i="1"/>
  <c r="Z393" i="1"/>
  <c r="Z392" i="1"/>
  <c r="Z391" i="1"/>
  <c r="Z390" i="1"/>
  <c r="Z389" i="1"/>
  <c r="Z388" i="1"/>
  <c r="Z387" i="1"/>
  <c r="Z386" i="1"/>
  <c r="AR385" i="1"/>
  <c r="Z384" i="1"/>
  <c r="Z383" i="1"/>
  <c r="Z382" i="1"/>
  <c r="AR381" i="1"/>
  <c r="AN381" i="1"/>
  <c r="Z381" i="1"/>
  <c r="AR380" i="1"/>
  <c r="AN380" i="1"/>
  <c r="Z380" i="1"/>
  <c r="Z379" i="1"/>
  <c r="Z378" i="1"/>
  <c r="Z377" i="1"/>
  <c r="AR376" i="1"/>
  <c r="AN376" i="1"/>
  <c r="Z376" i="1"/>
  <c r="Z375" i="1"/>
  <c r="Z374" i="1"/>
  <c r="Z373" i="1"/>
  <c r="AR372" i="1"/>
  <c r="AN372" i="1"/>
  <c r="Z372" i="1"/>
  <c r="Z371" i="1"/>
  <c r="AR370" i="1"/>
  <c r="AN370" i="1"/>
  <c r="Z370" i="1"/>
  <c r="Z369" i="1"/>
  <c r="Z368" i="1"/>
  <c r="Z367" i="1"/>
  <c r="AR366" i="1"/>
  <c r="AN366" i="1"/>
  <c r="Z366" i="1"/>
  <c r="Z365" i="1"/>
  <c r="Z364" i="1"/>
  <c r="AD364" i="1" s="1"/>
  <c r="Z363" i="1"/>
  <c r="AD363" i="1" s="1"/>
  <c r="Z362" i="1"/>
  <c r="AD362" i="1" s="1"/>
  <c r="Z361" i="1"/>
  <c r="AD361" i="1" s="1"/>
  <c r="Z360" i="1"/>
  <c r="Z359" i="1"/>
  <c r="AD359" i="1" s="1"/>
  <c r="Z358" i="1"/>
  <c r="AD358" i="1" s="1"/>
  <c r="Z357" i="1"/>
  <c r="Z356" i="1"/>
  <c r="Z355" i="1"/>
  <c r="AR354" i="1"/>
  <c r="AN354" i="1"/>
  <c r="Z354" i="1"/>
  <c r="Z353" i="1"/>
  <c r="AR352" i="1"/>
  <c r="AN352" i="1"/>
  <c r="Z352" i="1"/>
  <c r="Z351" i="1"/>
  <c r="Z350" i="1"/>
  <c r="Z349" i="1"/>
  <c r="Z348" i="1"/>
  <c r="AR347" i="1"/>
  <c r="AN347" i="1"/>
  <c r="Z347" i="1"/>
  <c r="Z346" i="1"/>
  <c r="Z345" i="1"/>
  <c r="Z344" i="1"/>
  <c r="Z343" i="1"/>
  <c r="Z342" i="1"/>
  <c r="Z341" i="1"/>
  <c r="AR340" i="1"/>
  <c r="AN340" i="1"/>
  <c r="Z340" i="1"/>
  <c r="Z339" i="1"/>
  <c r="Z338" i="1"/>
  <c r="Z337" i="1"/>
  <c r="Z336" i="1"/>
  <c r="AR335" i="1"/>
  <c r="AN335" i="1"/>
  <c r="Z335" i="1"/>
  <c r="AR641" i="1"/>
  <c r="Z640" i="1"/>
  <c r="AR587" i="1"/>
  <c r="Z334" i="1"/>
  <c r="Z333" i="1"/>
  <c r="Z332" i="1"/>
  <c r="Z331" i="1"/>
  <c r="Z330" i="1"/>
  <c r="Z329" i="1"/>
  <c r="Z328" i="1"/>
  <c r="Z327" i="1"/>
  <c r="Z326" i="1"/>
  <c r="Z325" i="1"/>
  <c r="AR324" i="1"/>
  <c r="AN324" i="1"/>
  <c r="Z324" i="1"/>
  <c r="Z323" i="1"/>
  <c r="Z322" i="1"/>
  <c r="Z321" i="1"/>
  <c r="AR320" i="1"/>
  <c r="AN320" i="1"/>
  <c r="Z320" i="1"/>
  <c r="Z319" i="1"/>
  <c r="AR318" i="1"/>
  <c r="AN318" i="1"/>
  <c r="Z318" i="1"/>
  <c r="AR317" i="1"/>
  <c r="AN317" i="1"/>
  <c r="Z317" i="1"/>
  <c r="Z316" i="1"/>
  <c r="Z315" i="1"/>
  <c r="Z314" i="1"/>
  <c r="Z313" i="1"/>
  <c r="Z312" i="1"/>
  <c r="Z311" i="1"/>
  <c r="Z310" i="1"/>
  <c r="Z309" i="1"/>
  <c r="Z308" i="1"/>
  <c r="AR307" i="1"/>
  <c r="AN307" i="1"/>
  <c r="Z307" i="1"/>
  <c r="Z306" i="1"/>
  <c r="AR305" i="1"/>
  <c r="AN305" i="1"/>
  <c r="Z305" i="1"/>
  <c r="Z304" i="1"/>
  <c r="Z303" i="1"/>
  <c r="Z302" i="1"/>
  <c r="Z301" i="1"/>
  <c r="Z300" i="1"/>
  <c r="Z299" i="1"/>
  <c r="Z298" i="1"/>
  <c r="Z297" i="1"/>
  <c r="Z296" i="1"/>
  <c r="AR295" i="1"/>
  <c r="AN295" i="1"/>
  <c r="Z295" i="1"/>
  <c r="Z294" i="1"/>
  <c r="Z293" i="1"/>
  <c r="Z292" i="1"/>
  <c r="Z291" i="1"/>
  <c r="AR290" i="1"/>
  <c r="AN290" i="1"/>
  <c r="Z290" i="1"/>
  <c r="Z289" i="1"/>
  <c r="Z288" i="1"/>
  <c r="Z686" i="1"/>
  <c r="Z683" i="1"/>
  <c r="Z679" i="1"/>
  <c r="AN635" i="1"/>
  <c r="Z633" i="1"/>
  <c r="AR591" i="1"/>
  <c r="Z584" i="1"/>
  <c r="Z286" i="1"/>
  <c r="Z285" i="1"/>
  <c r="Z284" i="1"/>
  <c r="Z283" i="1"/>
  <c r="AR282" i="1"/>
  <c r="AN282" i="1"/>
  <c r="Z282" i="1"/>
  <c r="Z281" i="1"/>
  <c r="AR280" i="1"/>
  <c r="AN280" i="1"/>
  <c r="Z280" i="1"/>
  <c r="Z279" i="1"/>
  <c r="Z278" i="1"/>
  <c r="AR277" i="1"/>
  <c r="AN277" i="1"/>
  <c r="Z277" i="1"/>
  <c r="Z276" i="1"/>
  <c r="Z275" i="1"/>
  <c r="Z274" i="1"/>
  <c r="Z273" i="1"/>
  <c r="AR272" i="1"/>
  <c r="AN272" i="1"/>
  <c r="Z272" i="1"/>
  <c r="Z271" i="1"/>
  <c r="Z270" i="1"/>
  <c r="Z269" i="1"/>
  <c r="Z268" i="1"/>
  <c r="AR267" i="1"/>
  <c r="AN267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AR252" i="1"/>
  <c r="AN252" i="1"/>
  <c r="Z252" i="1"/>
  <c r="Z251" i="1"/>
  <c r="AR249" i="1"/>
  <c r="AN249" i="1"/>
  <c r="Z249" i="1"/>
  <c r="Z248" i="1"/>
  <c r="Z247" i="1"/>
  <c r="Z246" i="1"/>
  <c r="Z245" i="1"/>
  <c r="Z244" i="1"/>
  <c r="Z243" i="1"/>
  <c r="Z242" i="1"/>
  <c r="Z241" i="1"/>
  <c r="Z240" i="1"/>
  <c r="AN700" i="1"/>
  <c r="Z692" i="1"/>
  <c r="Z691" i="1"/>
  <c r="AR635" i="1"/>
  <c r="U240" i="1"/>
  <c r="Z239" i="1"/>
  <c r="Z238" i="1"/>
  <c r="Z237" i="1"/>
  <c r="AR236" i="1"/>
  <c r="AN236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AR213" i="1"/>
  <c r="AN213" i="1"/>
  <c r="Z213" i="1"/>
  <c r="Z212" i="1"/>
  <c r="Z211" i="1"/>
  <c r="Z210" i="1"/>
  <c r="AR209" i="1"/>
  <c r="AN209" i="1"/>
  <c r="Z209" i="1"/>
  <c r="Z208" i="1"/>
  <c r="Z207" i="1"/>
  <c r="Z206" i="1"/>
  <c r="Z205" i="1"/>
  <c r="Z204" i="1"/>
  <c r="AR203" i="1"/>
  <c r="AN203" i="1"/>
  <c r="Z203" i="1"/>
  <c r="Z202" i="1"/>
  <c r="Z201" i="1"/>
  <c r="Z200" i="1"/>
  <c r="Z199" i="1"/>
  <c r="AR198" i="1"/>
  <c r="AN198" i="1"/>
  <c r="Z198" i="1"/>
  <c r="Z197" i="1"/>
  <c r="Z196" i="1"/>
  <c r="Z195" i="1"/>
  <c r="Z194" i="1"/>
  <c r="AR193" i="1"/>
  <c r="AN193" i="1"/>
  <c r="Z193" i="1"/>
  <c r="AN51" i="1"/>
  <c r="AR45" i="1"/>
  <c r="Z42" i="1"/>
  <c r="AN41" i="1"/>
  <c r="Z41" i="1"/>
  <c r="Z29" i="1"/>
  <c r="AR700" i="1"/>
  <c r="Z695" i="1"/>
  <c r="AN684" i="1"/>
  <c r="U593" i="1"/>
  <c r="Z590" i="1"/>
  <c r="Z588" i="1"/>
  <c r="U588" i="1"/>
  <c r="Z581" i="1"/>
  <c r="U439" i="1"/>
  <c r="U433" i="1"/>
  <c r="Z191" i="1"/>
  <c r="Z190" i="1"/>
  <c r="AR189" i="1"/>
  <c r="AN189" i="1"/>
  <c r="Z189" i="1"/>
  <c r="Z188" i="1"/>
  <c r="Z187" i="1"/>
  <c r="Z186" i="1"/>
  <c r="Z185" i="1"/>
  <c r="AR184" i="1"/>
  <c r="AN184" i="1"/>
  <c r="Z184" i="1"/>
  <c r="Z183" i="1"/>
  <c r="Z182" i="1"/>
  <c r="Z181" i="1"/>
  <c r="Z180" i="1"/>
  <c r="AR179" i="1"/>
  <c r="AN179" i="1"/>
  <c r="Z179" i="1"/>
  <c r="Z178" i="1"/>
  <c r="AD178" i="1" s="1"/>
  <c r="Z177" i="1"/>
  <c r="Z176" i="1"/>
  <c r="AD176" i="1" s="1"/>
  <c r="AF176" i="1" s="1"/>
  <c r="AG176" i="1" s="1"/>
  <c r="AH176" i="1" s="1"/>
  <c r="Z175" i="1"/>
  <c r="AR174" i="1"/>
  <c r="AN174" i="1"/>
  <c r="Z174" i="1"/>
  <c r="Z173" i="1"/>
  <c r="Z172" i="1"/>
  <c r="AD172" i="1" s="1"/>
  <c r="Z171" i="1"/>
  <c r="Z170" i="1"/>
  <c r="AD170" i="1" s="1"/>
  <c r="Z169" i="1"/>
  <c r="AR168" i="1"/>
  <c r="AN168" i="1"/>
  <c r="Z168" i="1"/>
  <c r="Z167" i="1"/>
  <c r="Z166" i="1"/>
  <c r="Z165" i="1"/>
  <c r="Z164" i="1"/>
  <c r="Z163" i="1"/>
  <c r="AR162" i="1"/>
  <c r="AN162" i="1"/>
  <c r="Z162" i="1"/>
  <c r="Z161" i="1"/>
  <c r="Z160" i="1"/>
  <c r="Z159" i="1"/>
  <c r="Z158" i="1"/>
  <c r="AD158" i="1" s="1"/>
  <c r="AR157" i="1"/>
  <c r="AN157" i="1"/>
  <c r="Z157" i="1"/>
  <c r="Z156" i="1"/>
  <c r="Z155" i="1"/>
  <c r="Z154" i="1"/>
  <c r="Z153" i="1"/>
  <c r="AR152" i="1"/>
  <c r="AN152" i="1"/>
  <c r="Z152" i="1"/>
  <c r="Z151" i="1"/>
  <c r="Z150" i="1"/>
  <c r="Z149" i="1"/>
  <c r="AR148" i="1"/>
  <c r="AN148" i="1"/>
  <c r="Z148" i="1"/>
  <c r="Z147" i="1"/>
  <c r="Z146" i="1"/>
  <c r="Z145" i="1"/>
  <c r="AR144" i="1"/>
  <c r="AN144" i="1"/>
  <c r="Z144" i="1"/>
  <c r="Z87" i="1"/>
  <c r="AN85" i="1"/>
  <c r="Z76" i="1"/>
  <c r="Z75" i="1"/>
  <c r="AR70" i="1"/>
  <c r="Z70" i="1"/>
  <c r="AN66" i="1"/>
  <c r="Z66" i="1"/>
  <c r="AN64" i="1"/>
  <c r="Z64" i="1"/>
  <c r="AR54" i="1"/>
  <c r="AN45" i="1"/>
  <c r="AR36" i="1"/>
  <c r="AN31" i="1"/>
  <c r="Z706" i="1"/>
  <c r="AN704" i="1"/>
  <c r="U694" i="1"/>
  <c r="Z682" i="1"/>
  <c r="Z681" i="1"/>
  <c r="Z646" i="1"/>
  <c r="Z643" i="1"/>
  <c r="Z642" i="1"/>
  <c r="AN641" i="1"/>
  <c r="Z635" i="1"/>
  <c r="Z632" i="1"/>
  <c r="U589" i="1"/>
  <c r="Z439" i="1"/>
  <c r="Z436" i="1"/>
  <c r="Z143" i="1"/>
  <c r="Z142" i="1"/>
  <c r="AR141" i="1"/>
  <c r="AN141" i="1"/>
  <c r="Z141" i="1"/>
  <c r="Z140" i="1"/>
  <c r="Z139" i="1"/>
  <c r="Z138" i="1"/>
  <c r="Z137" i="1"/>
  <c r="AR136" i="1"/>
  <c r="AN136" i="1"/>
  <c r="Z136" i="1"/>
  <c r="Z135" i="1"/>
  <c r="Z134" i="1"/>
  <c r="AR133" i="1"/>
  <c r="AN133" i="1"/>
  <c r="Z133" i="1"/>
  <c r="Z132" i="1"/>
  <c r="Z131" i="1"/>
  <c r="Z130" i="1"/>
  <c r="Z129" i="1"/>
  <c r="Z128" i="1"/>
  <c r="AR127" i="1"/>
  <c r="AN127" i="1"/>
  <c r="Z127" i="1"/>
  <c r="Z126" i="1"/>
  <c r="Z125" i="1"/>
  <c r="Z124" i="1"/>
  <c r="Z123" i="1"/>
  <c r="Z122" i="1"/>
  <c r="Z121" i="1"/>
  <c r="Z120" i="1"/>
  <c r="Z119" i="1"/>
  <c r="AR118" i="1"/>
  <c r="AN118" i="1"/>
  <c r="Z118" i="1"/>
  <c r="Z117" i="1"/>
  <c r="Z116" i="1"/>
  <c r="Z115" i="1"/>
  <c r="Z114" i="1"/>
  <c r="AD114" i="1" s="1"/>
  <c r="Z113" i="1"/>
  <c r="Z112" i="1"/>
  <c r="Z111" i="1"/>
  <c r="AR110" i="1"/>
  <c r="AN110" i="1"/>
  <c r="Z110" i="1"/>
  <c r="Z109" i="1"/>
  <c r="Z108" i="1"/>
  <c r="Z107" i="1"/>
  <c r="U107" i="1"/>
  <c r="Z106" i="1"/>
  <c r="AR105" i="1"/>
  <c r="AN105" i="1"/>
  <c r="Z105" i="1"/>
  <c r="Z104" i="1"/>
  <c r="Z103" i="1"/>
  <c r="Z102" i="1"/>
  <c r="Z101" i="1"/>
  <c r="Z100" i="1"/>
  <c r="Z99" i="1"/>
  <c r="Z98" i="1"/>
  <c r="Z97" i="1"/>
  <c r="Z84" i="1"/>
  <c r="Z83" i="1"/>
  <c r="Z81" i="1"/>
  <c r="Z78" i="1"/>
  <c r="AR72" i="1"/>
  <c r="AN72" i="1"/>
  <c r="Z68" i="1"/>
  <c r="AR62" i="1"/>
  <c r="AN36" i="1"/>
  <c r="AR31" i="1"/>
  <c r="Z19" i="1"/>
  <c r="U13" i="1"/>
  <c r="AR11" i="1"/>
  <c r="AR704" i="1"/>
  <c r="Z700" i="1"/>
  <c r="Z444" i="1"/>
  <c r="Z96" i="1"/>
  <c r="Z95" i="1"/>
  <c r="Z94" i="1"/>
  <c r="Z93" i="1"/>
  <c r="Z92" i="1"/>
  <c r="Z91" i="1"/>
  <c r="AR85" i="1"/>
  <c r="Z82" i="1"/>
  <c r="Z80" i="1"/>
  <c r="Z74" i="1"/>
  <c r="Z73" i="1"/>
  <c r="Z72" i="1"/>
  <c r="Z71" i="1"/>
  <c r="AN70" i="1"/>
  <c r="Z67" i="1"/>
  <c r="U67" i="1"/>
  <c r="AR66" i="1"/>
  <c r="Z65" i="1"/>
  <c r="AR64" i="1"/>
  <c r="Z63" i="1"/>
  <c r="AN62" i="1"/>
  <c r="Z62" i="1"/>
  <c r="Z61" i="1"/>
  <c r="U61" i="1"/>
  <c r="AR59" i="1"/>
  <c r="AN59" i="1"/>
  <c r="Z59" i="1"/>
  <c r="U56" i="1"/>
  <c r="Z55" i="1"/>
  <c r="AN54" i="1"/>
  <c r="AR51" i="1"/>
  <c r="Z50" i="1"/>
  <c r="U48" i="1"/>
  <c r="Z47" i="1"/>
  <c r="Z45" i="1"/>
  <c r="Z43" i="1"/>
  <c r="AR41" i="1"/>
  <c r="Z40" i="1"/>
  <c r="Z39" i="1"/>
  <c r="Z37" i="1"/>
  <c r="Z36" i="1"/>
  <c r="Z34" i="1"/>
  <c r="Z33" i="1"/>
  <c r="Z30" i="1"/>
  <c r="Z28" i="1"/>
  <c r="Z25" i="1"/>
  <c r="Z24" i="1"/>
  <c r="Z21" i="1"/>
  <c r="U20" i="1"/>
  <c r="AR16" i="1"/>
  <c r="AN16" i="1"/>
  <c r="Z16" i="1"/>
  <c r="Z15" i="1"/>
  <c r="AN11" i="1"/>
  <c r="Z10" i="1"/>
  <c r="Z6" i="1"/>
  <c r="Z4" i="1"/>
  <c r="Z3" i="1"/>
  <c r="U706" i="1"/>
  <c r="Z702" i="1"/>
  <c r="U696" i="1"/>
  <c r="Z693" i="1"/>
  <c r="U689" i="1"/>
  <c r="AR688" i="1"/>
  <c r="AR684" i="1"/>
  <c r="U647" i="1"/>
  <c r="Z645" i="1"/>
  <c r="Z641" i="1"/>
  <c r="U641" i="1"/>
  <c r="U640" i="1"/>
  <c r="Z591" i="1"/>
  <c r="U583" i="1"/>
  <c r="AN582" i="1"/>
  <c r="U435" i="1"/>
  <c r="Z385" i="1"/>
  <c r="G706" i="1"/>
  <c r="A706" i="1"/>
  <c r="G705" i="1"/>
  <c r="A705" i="1"/>
  <c r="G704" i="1"/>
  <c r="A704" i="1"/>
  <c r="G703" i="1"/>
  <c r="A703" i="1"/>
  <c r="G696" i="1"/>
  <c r="A696" i="1"/>
  <c r="G688" i="1"/>
  <c r="A688" i="1"/>
  <c r="G680" i="1"/>
  <c r="A680" i="1"/>
  <c r="G633" i="1"/>
  <c r="A633" i="1"/>
  <c r="G632" i="1"/>
  <c r="A632" i="1"/>
  <c r="G631" i="1"/>
  <c r="A631" i="1"/>
  <c r="G585" i="1"/>
  <c r="A585" i="1"/>
  <c r="G584" i="1"/>
  <c r="A584" i="1"/>
  <c r="G583" i="1"/>
  <c r="A583" i="1"/>
  <c r="G582" i="1"/>
  <c r="A582" i="1"/>
  <c r="G581" i="1"/>
  <c r="A581" i="1"/>
  <c r="G531" i="1"/>
  <c r="A531" i="1"/>
  <c r="G483" i="1"/>
  <c r="A483" i="1"/>
  <c r="G482" i="1"/>
  <c r="A482" i="1"/>
  <c r="G440" i="1"/>
  <c r="A440" i="1"/>
  <c r="G439" i="1"/>
  <c r="A439" i="1"/>
  <c r="G438" i="1"/>
  <c r="A438" i="1"/>
  <c r="G437" i="1"/>
  <c r="A437" i="1"/>
  <c r="G436" i="1"/>
  <c r="A436" i="1"/>
  <c r="G435" i="1"/>
  <c r="A435" i="1"/>
  <c r="G434" i="1"/>
  <c r="A434" i="1"/>
  <c r="G385" i="1"/>
  <c r="A385" i="1"/>
  <c r="G335" i="1"/>
  <c r="A335" i="1"/>
  <c r="G144" i="1"/>
  <c r="A144" i="1"/>
  <c r="G55" i="1"/>
  <c r="A55" i="1"/>
  <c r="G40" i="1"/>
  <c r="A40" i="1"/>
  <c r="G38" i="1"/>
  <c r="A38" i="1"/>
  <c r="G37" i="1"/>
  <c r="A37" i="1"/>
  <c r="G33" i="1"/>
  <c r="A33" i="1"/>
  <c r="G30" i="1"/>
  <c r="A30" i="1"/>
  <c r="G26" i="1"/>
  <c r="A26" i="1"/>
  <c r="G22" i="1"/>
  <c r="A22" i="1"/>
  <c r="G21" i="1"/>
  <c r="A21" i="1"/>
  <c r="G8" i="1"/>
  <c r="A8" i="1"/>
  <c r="G6" i="1"/>
  <c r="A6" i="1"/>
  <c r="AS728" i="1"/>
  <c r="AT728" i="1"/>
  <c r="W728" i="1"/>
  <c r="AD728" i="1"/>
  <c r="AS727" i="1"/>
  <c r="AT727" i="1"/>
  <c r="W727" i="1"/>
  <c r="AD727" i="1"/>
  <c r="AS726" i="1"/>
  <c r="AT726" i="1"/>
  <c r="W726" i="1"/>
  <c r="AD726" i="1"/>
  <c r="AS725" i="1"/>
  <c r="AT725" i="1"/>
  <c r="W725" i="1"/>
  <c r="AD725" i="1" s="1"/>
  <c r="AS724" i="1"/>
  <c r="AT724" i="1"/>
  <c r="W724" i="1"/>
  <c r="AD724" i="1"/>
  <c r="AS723" i="1"/>
  <c r="AT723" i="1"/>
  <c r="W723" i="1"/>
  <c r="AD723" i="1" s="1"/>
  <c r="AT722" i="1"/>
  <c r="AS722" i="1"/>
  <c r="W722" i="1"/>
  <c r="AD722" i="1" s="1"/>
  <c r="AS721" i="1"/>
  <c r="AT721" i="1"/>
  <c r="W721" i="1"/>
  <c r="AD721" i="1"/>
  <c r="AS720" i="1"/>
  <c r="AT720" i="1"/>
  <c r="W720" i="1"/>
  <c r="AD720" i="1"/>
  <c r="AS719" i="1"/>
  <c r="AT719" i="1"/>
  <c r="W719" i="1"/>
  <c r="AD719" i="1"/>
  <c r="AS718" i="1"/>
  <c r="AT718" i="1"/>
  <c r="W718" i="1"/>
  <c r="AD718" i="1" s="1"/>
  <c r="AS717" i="1"/>
  <c r="AT717" i="1"/>
  <c r="W717" i="1"/>
  <c r="AD717" i="1"/>
  <c r="AS716" i="1"/>
  <c r="AT716" i="1"/>
  <c r="W716" i="1"/>
  <c r="AD716" i="1"/>
  <c r="AS715" i="1"/>
  <c r="AT715" i="1"/>
  <c r="W715" i="1"/>
  <c r="AD715" i="1" s="1"/>
  <c r="AS714" i="1"/>
  <c r="AT714" i="1"/>
  <c r="W714" i="1"/>
  <c r="AS713" i="1"/>
  <c r="AT713" i="1"/>
  <c r="W713" i="1"/>
  <c r="AS712" i="1"/>
  <c r="AT712" i="1"/>
  <c r="W712" i="1"/>
  <c r="AD712" i="1"/>
  <c r="AS711" i="1"/>
  <c r="AT711" i="1"/>
  <c r="W711" i="1"/>
  <c r="AD711" i="1"/>
  <c r="AS710" i="1"/>
  <c r="AT710" i="1"/>
  <c r="W710" i="1"/>
  <c r="AD710" i="1"/>
  <c r="AS709" i="1"/>
  <c r="AT709" i="1"/>
  <c r="W709" i="1"/>
  <c r="AD709" i="1"/>
  <c r="AS708" i="1"/>
  <c r="AT708" i="1"/>
  <c r="W708" i="1"/>
  <c r="AD708" i="1"/>
  <c r="AF708" i="1"/>
  <c r="AG708" i="1"/>
  <c r="AH708" i="1" s="1"/>
  <c r="AS707" i="1"/>
  <c r="AT707" i="1"/>
  <c r="W707" i="1"/>
  <c r="AD707" i="1"/>
  <c r="AF707" i="1"/>
  <c r="AG707" i="1"/>
  <c r="AH707" i="1" s="1"/>
  <c r="AS706" i="1"/>
  <c r="AT706" i="1"/>
  <c r="W706" i="1"/>
  <c r="AD706" i="1"/>
  <c r="AS705" i="1"/>
  <c r="AT705" i="1"/>
  <c r="W705" i="1"/>
  <c r="AD705" i="1"/>
  <c r="AF705" i="1"/>
  <c r="AG705" i="1"/>
  <c r="AH705" i="1" s="1"/>
  <c r="AS704" i="1"/>
  <c r="AT704" i="1"/>
  <c r="W704" i="1"/>
  <c r="AD704" i="1"/>
  <c r="AF704" i="1"/>
  <c r="AG704" i="1"/>
  <c r="AH704" i="1" s="1"/>
  <c r="AS703" i="1"/>
  <c r="AT703" i="1"/>
  <c r="W703" i="1"/>
  <c r="AD703" i="1"/>
  <c r="AF703" i="1"/>
  <c r="AG703" i="1"/>
  <c r="AH703" i="1" s="1"/>
  <c r="AS702" i="1"/>
  <c r="AT702" i="1"/>
  <c r="W702" i="1"/>
  <c r="AD702" i="1"/>
  <c r="AF702" i="1"/>
  <c r="AG702" i="1"/>
  <c r="AH702" i="1" s="1"/>
  <c r="A702" i="1"/>
  <c r="G702" i="1"/>
  <c r="AS701" i="1"/>
  <c r="AT701" i="1"/>
  <c r="W701" i="1"/>
  <c r="AD701" i="1"/>
  <c r="AF701" i="1"/>
  <c r="AG701" i="1" s="1"/>
  <c r="AH701" i="1" s="1"/>
  <c r="G701" i="1"/>
  <c r="A701" i="1"/>
  <c r="AS700" i="1"/>
  <c r="AT700" i="1"/>
  <c r="W700" i="1"/>
  <c r="AD700" i="1"/>
  <c r="G700" i="1"/>
  <c r="A700" i="1"/>
  <c r="AS699" i="1"/>
  <c r="AT699" i="1"/>
  <c r="W699" i="1"/>
  <c r="AD699" i="1"/>
  <c r="G699" i="1"/>
  <c r="A699" i="1"/>
  <c r="AS698" i="1"/>
  <c r="AT698" i="1"/>
  <c r="W698" i="1"/>
  <c r="AD698" i="1"/>
  <c r="G698" i="1"/>
  <c r="A698" i="1"/>
  <c r="AS697" i="1"/>
  <c r="AT697" i="1"/>
  <c r="W697" i="1"/>
  <c r="G697" i="1"/>
  <c r="A697" i="1"/>
  <c r="AS696" i="1"/>
  <c r="AT696" i="1"/>
  <c r="W696" i="1"/>
  <c r="AD696" i="1"/>
  <c r="AF696" i="1" s="1"/>
  <c r="AG696" i="1" s="1"/>
  <c r="AH696" i="1" s="1"/>
  <c r="AT695" i="1"/>
  <c r="AS695" i="1"/>
  <c r="W695" i="1"/>
  <c r="AD695" i="1"/>
  <c r="G695" i="1"/>
  <c r="A695" i="1"/>
  <c r="AS694" i="1"/>
  <c r="AT694" i="1"/>
  <c r="W694" i="1"/>
  <c r="AD694" i="1"/>
  <c r="AF694" i="1" s="1"/>
  <c r="AG694" i="1" s="1"/>
  <c r="AH694" i="1" s="1"/>
  <c r="A694" i="1"/>
  <c r="G694" i="1"/>
  <c r="AS693" i="1"/>
  <c r="AT693" i="1"/>
  <c r="W693" i="1"/>
  <c r="AD693" i="1"/>
  <c r="A693" i="1"/>
  <c r="G693" i="1"/>
  <c r="AS692" i="1"/>
  <c r="AT692" i="1"/>
  <c r="W692" i="1"/>
  <c r="AD692" i="1"/>
  <c r="AS691" i="1"/>
  <c r="AT691" i="1"/>
  <c r="W691" i="1"/>
  <c r="AD691" i="1"/>
  <c r="G691" i="1"/>
  <c r="A691" i="1"/>
  <c r="AS690" i="1"/>
  <c r="AT690" i="1"/>
  <c r="W690" i="1"/>
  <c r="AD690" i="1"/>
  <c r="G690" i="1"/>
  <c r="A690" i="1"/>
  <c r="AS689" i="1"/>
  <c r="AT689" i="1"/>
  <c r="W689" i="1"/>
  <c r="AD689" i="1"/>
  <c r="AF689" i="1" s="1"/>
  <c r="AG689" i="1" s="1"/>
  <c r="AH689" i="1" s="1"/>
  <c r="A689" i="1"/>
  <c r="G689" i="1"/>
  <c r="AS688" i="1"/>
  <c r="AT688" i="1"/>
  <c r="W688" i="1"/>
  <c r="AD688" i="1"/>
  <c r="AS687" i="1"/>
  <c r="AT687" i="1"/>
  <c r="W687" i="1"/>
  <c r="AD687" i="1"/>
  <c r="AF687" i="1" s="1"/>
  <c r="AG687" i="1" s="1"/>
  <c r="AH687" i="1" s="1"/>
  <c r="A687" i="1"/>
  <c r="G687" i="1"/>
  <c r="AS686" i="1"/>
  <c r="AT686" i="1"/>
  <c r="W686" i="1"/>
  <c r="AD686" i="1"/>
  <c r="G686" i="1"/>
  <c r="A686" i="1"/>
  <c r="AS685" i="1"/>
  <c r="AT685" i="1"/>
  <c r="W685" i="1"/>
  <c r="AD685" i="1"/>
  <c r="AF685" i="1" s="1"/>
  <c r="G685" i="1"/>
  <c r="A685" i="1"/>
  <c r="AS684" i="1"/>
  <c r="AT684" i="1"/>
  <c r="W684" i="1"/>
  <c r="AD684" i="1"/>
  <c r="A684" i="1"/>
  <c r="G684" i="1"/>
  <c r="AS683" i="1"/>
  <c r="AT683" i="1"/>
  <c r="W683" i="1"/>
  <c r="A683" i="1"/>
  <c r="G683" i="1"/>
  <c r="AS682" i="1"/>
  <c r="AT682" i="1"/>
  <c r="W682" i="1"/>
  <c r="AD682" i="1"/>
  <c r="AF682" i="1" s="1"/>
  <c r="AG682" i="1" s="1"/>
  <c r="AH682" i="1" s="1"/>
  <c r="A682" i="1"/>
  <c r="G682" i="1"/>
  <c r="AS681" i="1"/>
  <c r="AT681" i="1"/>
  <c r="W681" i="1"/>
  <c r="AD681" i="1"/>
  <c r="A681" i="1"/>
  <c r="G681" i="1"/>
  <c r="AS680" i="1"/>
  <c r="AT680" i="1"/>
  <c r="W680" i="1"/>
  <c r="AD680" i="1"/>
  <c r="AS679" i="1"/>
  <c r="AT679" i="1"/>
  <c r="W679" i="1"/>
  <c r="AD679" i="1"/>
  <c r="AS678" i="1"/>
  <c r="AT678" i="1"/>
  <c r="W678" i="1"/>
  <c r="AD678" i="1"/>
  <c r="AS677" i="1"/>
  <c r="AT677" i="1"/>
  <c r="W677" i="1"/>
  <c r="AD677" i="1"/>
  <c r="AS676" i="1"/>
  <c r="AT676" i="1"/>
  <c r="W676" i="1"/>
  <c r="AD676" i="1"/>
  <c r="AS675" i="1"/>
  <c r="AT675" i="1"/>
  <c r="W675" i="1"/>
  <c r="AD675" i="1"/>
  <c r="AS674" i="1"/>
  <c r="AT674" i="1"/>
  <c r="W674" i="1"/>
  <c r="AD674" i="1"/>
  <c r="AS673" i="1"/>
  <c r="AT673" i="1"/>
  <c r="W673" i="1"/>
  <c r="AD673" i="1"/>
  <c r="AS672" i="1"/>
  <c r="AT672" i="1"/>
  <c r="W672" i="1"/>
  <c r="AD672" i="1"/>
  <c r="AS671" i="1"/>
  <c r="AT671" i="1"/>
  <c r="W671" i="1"/>
  <c r="AD671" i="1"/>
  <c r="AS670" i="1"/>
  <c r="AT670" i="1"/>
  <c r="W670" i="1"/>
  <c r="AD670" i="1" s="1"/>
  <c r="AT669" i="1"/>
  <c r="AS669" i="1"/>
  <c r="W669" i="1"/>
  <c r="AD669" i="1"/>
  <c r="AT668" i="1"/>
  <c r="AS668" i="1"/>
  <c r="W668" i="1"/>
  <c r="AD668" i="1"/>
  <c r="AF668" i="1" s="1"/>
  <c r="AG668" i="1" s="1"/>
  <c r="AH668" i="1" s="1"/>
  <c r="AT667" i="1"/>
  <c r="AS667" i="1"/>
  <c r="W667" i="1"/>
  <c r="AD667" i="1" s="1"/>
  <c r="AT666" i="1"/>
  <c r="AS666" i="1"/>
  <c r="W666" i="1"/>
  <c r="AD666" i="1"/>
  <c r="AT665" i="1"/>
  <c r="AS665" i="1"/>
  <c r="W665" i="1"/>
  <c r="AD665" i="1"/>
  <c r="AT664" i="1"/>
  <c r="AS664" i="1"/>
  <c r="W664" i="1"/>
  <c r="AD664" i="1"/>
  <c r="AS663" i="1"/>
  <c r="AT663" i="1"/>
  <c r="W663" i="1"/>
  <c r="AD663" i="1"/>
  <c r="AS662" i="1"/>
  <c r="AT662" i="1"/>
  <c r="W662" i="1"/>
  <c r="AD662" i="1"/>
  <c r="AS661" i="1"/>
  <c r="AT661" i="1"/>
  <c r="W661" i="1"/>
  <c r="AD661" i="1"/>
  <c r="AS660" i="1"/>
  <c r="AT660" i="1"/>
  <c r="W660" i="1"/>
  <c r="AD660" i="1"/>
  <c r="AS659" i="1"/>
  <c r="AT659" i="1"/>
  <c r="W659" i="1"/>
  <c r="AD659" i="1"/>
  <c r="AS658" i="1"/>
  <c r="AT658" i="1"/>
  <c r="W658" i="1"/>
  <c r="AD658" i="1"/>
  <c r="AS657" i="1"/>
  <c r="AT657" i="1"/>
  <c r="W657" i="1"/>
  <c r="AD657" i="1"/>
  <c r="G657" i="1"/>
  <c r="A657" i="1"/>
  <c r="AT656" i="1"/>
  <c r="AS656" i="1"/>
  <c r="W656" i="1"/>
  <c r="AD656" i="1"/>
  <c r="G656" i="1"/>
  <c r="A656" i="1"/>
  <c r="AS655" i="1"/>
  <c r="AT655" i="1"/>
  <c r="W655" i="1"/>
  <c r="AD655" i="1"/>
  <c r="G655" i="1"/>
  <c r="A655" i="1"/>
  <c r="AS654" i="1"/>
  <c r="AT654" i="1"/>
  <c r="W654" i="1"/>
  <c r="G654" i="1"/>
  <c r="A654" i="1"/>
  <c r="AS653" i="1"/>
  <c r="AT653" i="1"/>
  <c r="W653" i="1"/>
  <c r="AD653" i="1" s="1"/>
  <c r="G653" i="1"/>
  <c r="A653" i="1"/>
  <c r="AS652" i="1"/>
  <c r="AT652" i="1"/>
  <c r="W652" i="1"/>
  <c r="A652" i="1"/>
  <c r="G652" i="1"/>
  <c r="AS651" i="1"/>
  <c r="AT651" i="1"/>
  <c r="W651" i="1"/>
  <c r="A651" i="1"/>
  <c r="G651" i="1"/>
  <c r="AS650" i="1"/>
  <c r="AT650" i="1"/>
  <c r="W650" i="1"/>
  <c r="AD650" i="1"/>
  <c r="A650" i="1"/>
  <c r="G650" i="1"/>
  <c r="AT649" i="1"/>
  <c r="AS649" i="1"/>
  <c r="W649" i="1"/>
  <c r="AD649" i="1"/>
  <c r="G649" i="1"/>
  <c r="A649" i="1"/>
  <c r="AS648" i="1"/>
  <c r="AT648" i="1"/>
  <c r="W648" i="1"/>
  <c r="AD648" i="1"/>
  <c r="G648" i="1"/>
  <c r="A648" i="1"/>
  <c r="AT647" i="1"/>
  <c r="AS647" i="1"/>
  <c r="W647" i="1"/>
  <c r="A647" i="1"/>
  <c r="G647" i="1"/>
  <c r="AT646" i="1"/>
  <c r="AS646" i="1"/>
  <c r="W646" i="1"/>
  <c r="G646" i="1"/>
  <c r="A646" i="1"/>
  <c r="AS645" i="1"/>
  <c r="AT645" i="1"/>
  <c r="W645" i="1"/>
  <c r="AD645" i="1"/>
  <c r="AF645" i="1" s="1"/>
  <c r="G645" i="1"/>
  <c r="A645" i="1"/>
  <c r="AS644" i="1"/>
  <c r="AT644" i="1"/>
  <c r="W644" i="1"/>
  <c r="AD644" i="1"/>
  <c r="A644" i="1"/>
  <c r="G644" i="1"/>
  <c r="AT643" i="1"/>
  <c r="AS643" i="1"/>
  <c r="W643" i="1"/>
  <c r="A643" i="1"/>
  <c r="G643" i="1"/>
  <c r="AT642" i="1"/>
  <c r="AS642" i="1"/>
  <c r="W642" i="1"/>
  <c r="AD642" i="1"/>
  <c r="AF642" i="1"/>
  <c r="G642" i="1"/>
  <c r="A642" i="1"/>
  <c r="AS641" i="1"/>
  <c r="AT641" i="1"/>
  <c r="W641" i="1"/>
  <c r="G641" i="1"/>
  <c r="A641" i="1"/>
  <c r="AT640" i="1"/>
  <c r="AS640" i="1"/>
  <c r="W640" i="1"/>
  <c r="A640" i="1"/>
  <c r="G640" i="1"/>
  <c r="AS639" i="1"/>
  <c r="AT639" i="1"/>
  <c r="W639" i="1"/>
  <c r="AD639" i="1" s="1"/>
  <c r="G639" i="1"/>
  <c r="A639" i="1"/>
  <c r="AT638" i="1"/>
  <c r="AS638" i="1"/>
  <c r="W638" i="1"/>
  <c r="AD638" i="1"/>
  <c r="AF638" i="1"/>
  <c r="G638" i="1"/>
  <c r="A638" i="1"/>
  <c r="AS637" i="1"/>
  <c r="AT637" i="1"/>
  <c r="W637" i="1"/>
  <c r="AD637" i="1"/>
  <c r="AF637" i="1"/>
  <c r="G637" i="1"/>
  <c r="A637" i="1"/>
  <c r="AT636" i="1"/>
  <c r="AS636" i="1"/>
  <c r="W636" i="1"/>
  <c r="AD636" i="1"/>
  <c r="A636" i="1"/>
  <c r="G636" i="1"/>
  <c r="AS635" i="1"/>
  <c r="AT635" i="1"/>
  <c r="W635" i="1"/>
  <c r="A635" i="1"/>
  <c r="G635" i="1"/>
  <c r="AT634" i="1"/>
  <c r="AS634" i="1"/>
  <c r="W634" i="1"/>
  <c r="AD634" i="1"/>
  <c r="G634" i="1"/>
  <c r="A634" i="1"/>
  <c r="AS633" i="1"/>
  <c r="AT633" i="1"/>
  <c r="W633" i="1"/>
  <c r="AD633" i="1"/>
  <c r="AF633" i="1" s="1"/>
  <c r="AS632" i="1"/>
  <c r="AT632" i="1"/>
  <c r="W632" i="1"/>
  <c r="AD632" i="1"/>
  <c r="AS631" i="1"/>
  <c r="AT631" i="1"/>
  <c r="W631" i="1"/>
  <c r="AD631" i="1"/>
  <c r="AS630" i="1"/>
  <c r="AT630" i="1"/>
  <c r="W630" i="1"/>
  <c r="AD630" i="1"/>
  <c r="AS629" i="1"/>
  <c r="AT629" i="1"/>
  <c r="W629" i="1"/>
  <c r="AD629" i="1" s="1"/>
  <c r="AS628" i="1"/>
  <c r="AT628" i="1"/>
  <c r="W628" i="1"/>
  <c r="AD628" i="1"/>
  <c r="AS627" i="1"/>
  <c r="AT627" i="1"/>
  <c r="W627" i="1"/>
  <c r="AD627" i="1"/>
  <c r="AS626" i="1"/>
  <c r="AT626" i="1"/>
  <c r="W626" i="1"/>
  <c r="AD626" i="1"/>
  <c r="AS625" i="1"/>
  <c r="AT625" i="1"/>
  <c r="W625" i="1"/>
  <c r="AD625" i="1"/>
  <c r="AS624" i="1"/>
  <c r="AT624" i="1"/>
  <c r="W624" i="1"/>
  <c r="AD624" i="1"/>
  <c r="AS623" i="1"/>
  <c r="AT623" i="1"/>
  <c r="W623" i="1"/>
  <c r="AD623" i="1"/>
  <c r="AS622" i="1"/>
  <c r="AT622" i="1"/>
  <c r="W622" i="1"/>
  <c r="AD622" i="1"/>
  <c r="AS621" i="1"/>
  <c r="AT621" i="1"/>
  <c r="W621" i="1"/>
  <c r="AD621" i="1" s="1"/>
  <c r="AS620" i="1"/>
  <c r="AT620" i="1"/>
  <c r="W620" i="1"/>
  <c r="AD620" i="1" s="1"/>
  <c r="AS619" i="1"/>
  <c r="AT619" i="1"/>
  <c r="W619" i="1"/>
  <c r="AD619" i="1"/>
  <c r="AS618" i="1"/>
  <c r="AT618" i="1"/>
  <c r="W618" i="1"/>
  <c r="AD618" i="1"/>
  <c r="AS617" i="1"/>
  <c r="AT617" i="1"/>
  <c r="W617" i="1"/>
  <c r="AD617" i="1" s="1"/>
  <c r="AS616" i="1"/>
  <c r="AT616" i="1"/>
  <c r="W616" i="1"/>
  <c r="AD616" i="1" s="1"/>
  <c r="AS615" i="1"/>
  <c r="AT615" i="1"/>
  <c r="W615" i="1"/>
  <c r="AS614" i="1"/>
  <c r="AT614" i="1"/>
  <c r="W614" i="1"/>
  <c r="AD614" i="1"/>
  <c r="AS613" i="1"/>
  <c r="AT613" i="1"/>
  <c r="W613" i="1"/>
  <c r="AD613" i="1"/>
  <c r="AS612" i="1"/>
  <c r="AT612" i="1"/>
  <c r="W612" i="1"/>
  <c r="AD612" i="1"/>
  <c r="AS611" i="1"/>
  <c r="AT611" i="1"/>
  <c r="W611" i="1"/>
  <c r="AD611" i="1"/>
  <c r="AS610" i="1"/>
  <c r="AT610" i="1"/>
  <c r="W610" i="1"/>
  <c r="AD610" i="1"/>
  <c r="AS609" i="1"/>
  <c r="AT609" i="1"/>
  <c r="W609" i="1"/>
  <c r="AD609" i="1"/>
  <c r="AS608" i="1"/>
  <c r="AT608" i="1"/>
  <c r="W608" i="1"/>
  <c r="AF608" i="1" s="1"/>
  <c r="AD608" i="1"/>
  <c r="AS607" i="1"/>
  <c r="AT607" i="1"/>
  <c r="W607" i="1"/>
  <c r="AS606" i="1"/>
  <c r="AT606" i="1"/>
  <c r="W606" i="1"/>
  <c r="AD606" i="1"/>
  <c r="AS605" i="1"/>
  <c r="AT605" i="1"/>
  <c r="W605" i="1"/>
  <c r="AD605" i="1"/>
  <c r="AS604" i="1"/>
  <c r="AT604" i="1"/>
  <c r="W604" i="1"/>
  <c r="AD604" i="1"/>
  <c r="A604" i="1"/>
  <c r="G604" i="1"/>
  <c r="AT603" i="1"/>
  <c r="AS603" i="1"/>
  <c r="W603" i="1"/>
  <c r="A603" i="1"/>
  <c r="G603" i="1"/>
  <c r="AS602" i="1"/>
  <c r="AT602" i="1"/>
  <c r="W602" i="1"/>
  <c r="AD602" i="1"/>
  <c r="AF602" i="1" s="1"/>
  <c r="A602" i="1"/>
  <c r="G602" i="1"/>
  <c r="AT601" i="1"/>
  <c r="AS601" i="1"/>
  <c r="W601" i="1"/>
  <c r="AD601" i="1"/>
  <c r="AF601" i="1"/>
  <c r="AG601" i="1" s="1"/>
  <c r="AH601" i="1" s="1"/>
  <c r="G601" i="1"/>
  <c r="A601" i="1"/>
  <c r="AT600" i="1"/>
  <c r="AS600" i="1"/>
  <c r="W600" i="1"/>
  <c r="AD600" i="1"/>
  <c r="AF600" i="1" s="1"/>
  <c r="AG600" i="1" s="1"/>
  <c r="AH600" i="1" s="1"/>
  <c r="A600" i="1"/>
  <c r="G600" i="1"/>
  <c r="AS599" i="1"/>
  <c r="AT599" i="1"/>
  <c r="W599" i="1"/>
  <c r="AD599" i="1"/>
  <c r="AF599" i="1"/>
  <c r="AG599" i="1"/>
  <c r="AH599" i="1" s="1"/>
  <c r="G599" i="1"/>
  <c r="A599" i="1"/>
  <c r="AT598" i="1"/>
  <c r="AS598" i="1"/>
  <c r="W598" i="1"/>
  <c r="AD598" i="1"/>
  <c r="A598" i="1"/>
  <c r="G598" i="1"/>
  <c r="AS597" i="1"/>
  <c r="AT597" i="1"/>
  <c r="W597" i="1"/>
  <c r="AD597" i="1"/>
  <c r="A597" i="1"/>
  <c r="G597" i="1"/>
  <c r="AT596" i="1"/>
  <c r="AS596" i="1"/>
  <c r="W596" i="1"/>
  <c r="AD596" i="1"/>
  <c r="G596" i="1"/>
  <c r="A596" i="1"/>
  <c r="AS595" i="1"/>
  <c r="AT595" i="1"/>
  <c r="W595" i="1"/>
  <c r="AD595" i="1"/>
  <c r="A595" i="1"/>
  <c r="G595" i="1"/>
  <c r="AT594" i="1"/>
  <c r="AS594" i="1"/>
  <c r="W594" i="1"/>
  <c r="AD594" i="1"/>
  <c r="A594" i="1"/>
  <c r="G594" i="1"/>
  <c r="AT593" i="1"/>
  <c r="AS593" i="1"/>
  <c r="W593" i="1"/>
  <c r="G593" i="1"/>
  <c r="A593" i="1"/>
  <c r="AS592" i="1"/>
  <c r="AT592" i="1"/>
  <c r="W592" i="1"/>
  <c r="AD592" i="1"/>
  <c r="AF592" i="1"/>
  <c r="AG592" i="1"/>
  <c r="AH592" i="1" s="1"/>
  <c r="A592" i="1"/>
  <c r="G592" i="1"/>
  <c r="AS591" i="1"/>
  <c r="AT591" i="1"/>
  <c r="W591" i="1"/>
  <c r="AD591" i="1"/>
  <c r="AF591" i="1" s="1"/>
  <c r="AG591" i="1" s="1"/>
  <c r="AH591" i="1" s="1"/>
  <c r="A591" i="1"/>
  <c r="G591" i="1"/>
  <c r="AS590" i="1"/>
  <c r="AT590" i="1"/>
  <c r="W590" i="1"/>
  <c r="AD590" i="1"/>
  <c r="AF590" i="1"/>
  <c r="AG590" i="1"/>
  <c r="AH590" i="1" s="1"/>
  <c r="A590" i="1"/>
  <c r="G590" i="1"/>
  <c r="AS589" i="1"/>
  <c r="AT589" i="1"/>
  <c r="W589" i="1"/>
  <c r="AD589" i="1"/>
  <c r="AF589" i="1"/>
  <c r="A589" i="1"/>
  <c r="G589" i="1"/>
  <c r="AS588" i="1"/>
  <c r="AT588" i="1"/>
  <c r="W588" i="1"/>
  <c r="A588" i="1"/>
  <c r="G588" i="1"/>
  <c r="AS587" i="1"/>
  <c r="AT587" i="1"/>
  <c r="W587" i="1"/>
  <c r="A587" i="1"/>
  <c r="G587" i="1"/>
  <c r="AS586" i="1"/>
  <c r="AT586" i="1"/>
  <c r="W586" i="1"/>
  <c r="AD586" i="1"/>
  <c r="AF586" i="1"/>
  <c r="AG586" i="1"/>
  <c r="AH586" i="1" s="1"/>
  <c r="A586" i="1"/>
  <c r="G586" i="1"/>
  <c r="AS585" i="1"/>
  <c r="AT585" i="1"/>
  <c r="W585" i="1"/>
  <c r="AD585" i="1"/>
  <c r="AF585" i="1"/>
  <c r="AG585" i="1" s="1"/>
  <c r="AH585" i="1" s="1"/>
  <c r="AS584" i="1"/>
  <c r="AT584" i="1"/>
  <c r="W584" i="1"/>
  <c r="AD584" i="1"/>
  <c r="AS583" i="1"/>
  <c r="AT583" i="1"/>
  <c r="W583" i="1"/>
  <c r="AS582" i="1"/>
  <c r="AT582" i="1"/>
  <c r="W582" i="1"/>
  <c r="AD582" i="1"/>
  <c r="AS581" i="1"/>
  <c r="AT581" i="1"/>
  <c r="W581" i="1"/>
  <c r="AS580" i="1"/>
  <c r="AT580" i="1"/>
  <c r="W580" i="1"/>
  <c r="AS579" i="1"/>
  <c r="AT579" i="1"/>
  <c r="W579" i="1"/>
  <c r="AD579" i="1"/>
  <c r="AS578" i="1"/>
  <c r="AT578" i="1"/>
  <c r="W578" i="1"/>
  <c r="AF578" i="1" s="1"/>
  <c r="AD578" i="1"/>
  <c r="AS577" i="1"/>
  <c r="AT577" i="1"/>
  <c r="W577" i="1"/>
  <c r="AD577" i="1"/>
  <c r="AS576" i="1"/>
  <c r="AT576" i="1"/>
  <c r="W576" i="1"/>
  <c r="AD576" i="1"/>
  <c r="AS575" i="1"/>
  <c r="AT575" i="1"/>
  <c r="W575" i="1"/>
  <c r="AD575" i="1"/>
  <c r="AF575" i="1" s="1"/>
  <c r="AG575" i="1" s="1"/>
  <c r="AH575" i="1" s="1"/>
  <c r="AS574" i="1"/>
  <c r="AT574" i="1"/>
  <c r="W574" i="1"/>
  <c r="AD574" i="1"/>
  <c r="AS573" i="1"/>
  <c r="AT573" i="1"/>
  <c r="W573" i="1"/>
  <c r="AD573" i="1" s="1"/>
  <c r="AS572" i="1"/>
  <c r="AT572" i="1"/>
  <c r="W572" i="1"/>
  <c r="AD572" i="1"/>
  <c r="AS571" i="1"/>
  <c r="AT571" i="1"/>
  <c r="W571" i="1"/>
  <c r="AD571" i="1"/>
  <c r="AS570" i="1"/>
  <c r="AT570" i="1"/>
  <c r="W570" i="1"/>
  <c r="AD570" i="1" s="1"/>
  <c r="AS569" i="1"/>
  <c r="AT569" i="1"/>
  <c r="W569" i="1"/>
  <c r="AD569" i="1" s="1"/>
  <c r="AS568" i="1"/>
  <c r="AT568" i="1"/>
  <c r="W568" i="1"/>
  <c r="AD568" i="1"/>
  <c r="AS567" i="1"/>
  <c r="AT567" i="1"/>
  <c r="W567" i="1"/>
  <c r="AD567" i="1"/>
  <c r="AS566" i="1"/>
  <c r="AT566" i="1"/>
  <c r="W566" i="1"/>
  <c r="AD566" i="1" s="1"/>
  <c r="AS565" i="1"/>
  <c r="AT565" i="1"/>
  <c r="W565" i="1"/>
  <c r="AD565" i="1"/>
  <c r="AS564" i="1"/>
  <c r="AT564" i="1"/>
  <c r="W564" i="1"/>
  <c r="AD564" i="1" s="1"/>
  <c r="AS563" i="1"/>
  <c r="AT563" i="1"/>
  <c r="W563" i="1"/>
  <c r="AD563" i="1"/>
  <c r="AS562" i="1"/>
  <c r="AT562" i="1"/>
  <c r="W562" i="1"/>
  <c r="AD562" i="1"/>
  <c r="AS561" i="1"/>
  <c r="AT561" i="1"/>
  <c r="W561" i="1"/>
  <c r="AD561" i="1"/>
  <c r="AS560" i="1"/>
  <c r="AT560" i="1"/>
  <c r="W560" i="1"/>
  <c r="AD560" i="1" s="1"/>
  <c r="AS559" i="1"/>
  <c r="AT559" i="1"/>
  <c r="W559" i="1"/>
  <c r="AD559" i="1" s="1"/>
  <c r="AS558" i="1"/>
  <c r="AT558" i="1"/>
  <c r="W558" i="1"/>
  <c r="AD558" i="1"/>
  <c r="AS557" i="1"/>
  <c r="AT557" i="1"/>
  <c r="W557" i="1"/>
  <c r="AD557" i="1"/>
  <c r="AT556" i="1"/>
  <c r="AS556" i="1"/>
  <c r="W556" i="1"/>
  <c r="AD556" i="1" s="1"/>
  <c r="G556" i="1"/>
  <c r="A556" i="1"/>
  <c r="AS555" i="1"/>
  <c r="AT555" i="1"/>
  <c r="W555" i="1"/>
  <c r="AD555" i="1"/>
  <c r="G555" i="1"/>
  <c r="A555" i="1"/>
  <c r="AS554" i="1"/>
  <c r="AT554" i="1"/>
  <c r="W554" i="1"/>
  <c r="G554" i="1"/>
  <c r="A554" i="1"/>
  <c r="AS553" i="1"/>
  <c r="AT553" i="1"/>
  <c r="W553" i="1"/>
  <c r="G553" i="1"/>
  <c r="A553" i="1"/>
  <c r="AT552" i="1"/>
  <c r="AS552" i="1"/>
  <c r="W552" i="1"/>
  <c r="A552" i="1"/>
  <c r="G552" i="1"/>
  <c r="AT551" i="1"/>
  <c r="AS551" i="1"/>
  <c r="W551" i="1"/>
  <c r="G551" i="1"/>
  <c r="A551" i="1"/>
  <c r="AS550" i="1"/>
  <c r="AT550" i="1"/>
  <c r="W550" i="1"/>
  <c r="AD550" i="1"/>
  <c r="G550" i="1"/>
  <c r="A550" i="1"/>
  <c r="AT549" i="1"/>
  <c r="AS549" i="1"/>
  <c r="W549" i="1"/>
  <c r="G549" i="1"/>
  <c r="A549" i="1"/>
  <c r="AT548" i="1"/>
  <c r="AS548" i="1"/>
  <c r="W548" i="1"/>
  <c r="AD548" i="1"/>
  <c r="G548" i="1"/>
  <c r="A548" i="1"/>
  <c r="AS547" i="1"/>
  <c r="AT547" i="1"/>
  <c r="W547" i="1"/>
  <c r="A547" i="1"/>
  <c r="G547" i="1"/>
  <c r="AS546" i="1"/>
  <c r="AT546" i="1"/>
  <c r="W546" i="1"/>
  <c r="AD546" i="1"/>
  <c r="AF546" i="1" s="1"/>
  <c r="AG546" i="1" s="1"/>
  <c r="AH546" i="1" s="1"/>
  <c r="A546" i="1"/>
  <c r="G546" i="1"/>
  <c r="AS545" i="1"/>
  <c r="AT545" i="1"/>
  <c r="W545" i="1"/>
  <c r="AD545" i="1"/>
  <c r="A545" i="1"/>
  <c r="G545" i="1"/>
  <c r="AT544" i="1"/>
  <c r="AS544" i="1"/>
  <c r="W544" i="1"/>
  <c r="AD544" i="1" s="1"/>
  <c r="G544" i="1"/>
  <c r="A544" i="1"/>
  <c r="AS543" i="1"/>
  <c r="AT543" i="1"/>
  <c r="W543" i="1"/>
  <c r="AD543" i="1"/>
  <c r="AF543" i="1" s="1"/>
  <c r="AG543" i="1" s="1"/>
  <c r="AH543" i="1" s="1"/>
  <c r="A543" i="1"/>
  <c r="G543" i="1"/>
  <c r="AT542" i="1"/>
  <c r="AS542" i="1"/>
  <c r="W542" i="1"/>
  <c r="A542" i="1"/>
  <c r="G542" i="1"/>
  <c r="AS541" i="1"/>
  <c r="AT541" i="1"/>
  <c r="W541" i="1"/>
  <c r="G541" i="1"/>
  <c r="A541" i="1"/>
  <c r="AT540" i="1"/>
  <c r="AS540" i="1"/>
  <c r="W540" i="1"/>
  <c r="G540" i="1"/>
  <c r="A540" i="1"/>
  <c r="AS539" i="1"/>
  <c r="AT539" i="1"/>
  <c r="W539" i="1"/>
  <c r="AD539" i="1"/>
  <c r="AF539" i="1"/>
  <c r="AG539" i="1"/>
  <c r="AH539" i="1" s="1"/>
  <c r="G539" i="1"/>
  <c r="A539" i="1"/>
  <c r="AT538" i="1"/>
  <c r="AS538" i="1"/>
  <c r="W538" i="1"/>
  <c r="AD538" i="1"/>
  <c r="AF538" i="1"/>
  <c r="AG538" i="1" s="1"/>
  <c r="AH538" i="1" s="1"/>
  <c r="A538" i="1"/>
  <c r="G538" i="1"/>
  <c r="AS537" i="1"/>
  <c r="AT537" i="1"/>
  <c r="W537" i="1"/>
  <c r="AD537" i="1"/>
  <c r="AF537" i="1" s="1"/>
  <c r="AG537" i="1" s="1"/>
  <c r="AH537" i="1" s="1"/>
  <c r="AS536" i="1"/>
  <c r="AT536" i="1"/>
  <c r="W536" i="1"/>
  <c r="AD536" i="1"/>
  <c r="AF536" i="1"/>
  <c r="AG536" i="1"/>
  <c r="AH536" i="1" s="1"/>
  <c r="AS535" i="1"/>
  <c r="AT535" i="1"/>
  <c r="W535" i="1"/>
  <c r="AD535" i="1"/>
  <c r="AF535" i="1"/>
  <c r="AG535" i="1"/>
  <c r="AH535" i="1" s="1"/>
  <c r="AS534" i="1"/>
  <c r="AT534" i="1"/>
  <c r="W534" i="1"/>
  <c r="AD534" i="1"/>
  <c r="AF534" i="1"/>
  <c r="AG534" i="1"/>
  <c r="AH534" i="1" s="1"/>
  <c r="AS533" i="1"/>
  <c r="AT533" i="1"/>
  <c r="W533" i="1"/>
  <c r="AD533" i="1"/>
  <c r="AF533" i="1"/>
  <c r="AG533" i="1"/>
  <c r="AH533" i="1" s="1"/>
  <c r="AS532" i="1"/>
  <c r="AT532" i="1"/>
  <c r="W532" i="1"/>
  <c r="AD532" i="1"/>
  <c r="AF532" i="1"/>
  <c r="AG532" i="1"/>
  <c r="AH532" i="1" s="1"/>
  <c r="AS531" i="1"/>
  <c r="AT531" i="1"/>
  <c r="W531" i="1"/>
  <c r="AD531" i="1"/>
  <c r="AF531" i="1"/>
  <c r="AG531" i="1"/>
  <c r="AH531" i="1" s="1"/>
  <c r="AS530" i="1"/>
  <c r="AT530" i="1"/>
  <c r="W530" i="1"/>
  <c r="AD530" i="1"/>
  <c r="AF530" i="1"/>
  <c r="AG530" i="1"/>
  <c r="AH530" i="1" s="1"/>
  <c r="AS529" i="1"/>
  <c r="AT529" i="1"/>
  <c r="W529" i="1"/>
  <c r="AD529" i="1"/>
  <c r="AF529" i="1"/>
  <c r="AG529" i="1"/>
  <c r="AH529" i="1" s="1"/>
  <c r="AS528" i="1"/>
  <c r="AT528" i="1"/>
  <c r="W528" i="1"/>
  <c r="AD528" i="1"/>
  <c r="AF528" i="1"/>
  <c r="AG528" i="1"/>
  <c r="AH528" i="1" s="1"/>
  <c r="AS527" i="1"/>
  <c r="AT527" i="1"/>
  <c r="W527" i="1"/>
  <c r="AD527" i="1"/>
  <c r="AF527" i="1"/>
  <c r="AG527" i="1"/>
  <c r="AH527" i="1" s="1"/>
  <c r="AS526" i="1"/>
  <c r="AT526" i="1"/>
  <c r="W526" i="1"/>
  <c r="AD526" i="1"/>
  <c r="AF526" i="1"/>
  <c r="AG526" i="1"/>
  <c r="AH526" i="1" s="1"/>
  <c r="AS525" i="1"/>
  <c r="AT525" i="1"/>
  <c r="W525" i="1"/>
  <c r="AD525" i="1"/>
  <c r="AF525" i="1"/>
  <c r="AG525" i="1"/>
  <c r="AH525" i="1" s="1"/>
  <c r="AS524" i="1"/>
  <c r="AT524" i="1"/>
  <c r="W524" i="1"/>
  <c r="AD524" i="1"/>
  <c r="AF524" i="1"/>
  <c r="AG524" i="1"/>
  <c r="AH524" i="1" s="1"/>
  <c r="AS523" i="1"/>
  <c r="AT523" i="1"/>
  <c r="W523" i="1"/>
  <c r="AD523" i="1"/>
  <c r="AF523" i="1"/>
  <c r="AG523" i="1"/>
  <c r="AH523" i="1" s="1"/>
  <c r="AS522" i="1"/>
  <c r="AT522" i="1"/>
  <c r="W522" i="1"/>
  <c r="AD522" i="1"/>
  <c r="AF522" i="1"/>
  <c r="AG522" i="1"/>
  <c r="AH522" i="1" s="1"/>
  <c r="AS521" i="1"/>
  <c r="AT521" i="1"/>
  <c r="W521" i="1"/>
  <c r="AD521" i="1"/>
  <c r="AF521" i="1"/>
  <c r="AG521" i="1"/>
  <c r="AH521" i="1" s="1"/>
  <c r="AS520" i="1"/>
  <c r="AT520" i="1"/>
  <c r="W520" i="1"/>
  <c r="AD520" i="1"/>
  <c r="AF520" i="1"/>
  <c r="AG520" i="1"/>
  <c r="AH520" i="1" s="1"/>
  <c r="AS519" i="1"/>
  <c r="AT519" i="1"/>
  <c r="W519" i="1"/>
  <c r="AD519" i="1"/>
  <c r="AF519" i="1"/>
  <c r="AG519" i="1"/>
  <c r="AH519" i="1" s="1"/>
  <c r="AS518" i="1"/>
  <c r="AT518" i="1"/>
  <c r="W518" i="1"/>
  <c r="AD518" i="1"/>
  <c r="AF518" i="1"/>
  <c r="AG518" i="1"/>
  <c r="AH518" i="1" s="1"/>
  <c r="AS517" i="1"/>
  <c r="AT517" i="1"/>
  <c r="W517" i="1"/>
  <c r="AD517" i="1"/>
  <c r="AF517" i="1"/>
  <c r="AG517" i="1"/>
  <c r="AH517" i="1" s="1"/>
  <c r="AS516" i="1"/>
  <c r="AT516" i="1"/>
  <c r="W516" i="1"/>
  <c r="AD516" i="1"/>
  <c r="AF516" i="1"/>
  <c r="AG516" i="1"/>
  <c r="AH516" i="1" s="1"/>
  <c r="AS515" i="1"/>
  <c r="AT515" i="1"/>
  <c r="W515" i="1"/>
  <c r="AD515" i="1"/>
  <c r="AF515" i="1"/>
  <c r="AG515" i="1"/>
  <c r="AH515" i="1" s="1"/>
  <c r="AS514" i="1"/>
  <c r="AT514" i="1"/>
  <c r="W514" i="1"/>
  <c r="AD514" i="1"/>
  <c r="AF514" i="1"/>
  <c r="AG514" i="1"/>
  <c r="AH514" i="1" s="1"/>
  <c r="AS513" i="1"/>
  <c r="AT513" i="1"/>
  <c r="W513" i="1"/>
  <c r="AD513" i="1"/>
  <c r="AF513" i="1"/>
  <c r="AG513" i="1"/>
  <c r="AH513" i="1" s="1"/>
  <c r="AS512" i="1"/>
  <c r="AT512" i="1"/>
  <c r="W512" i="1"/>
  <c r="AD512" i="1"/>
  <c r="AF512" i="1"/>
  <c r="AG512" i="1"/>
  <c r="AH512" i="1" s="1"/>
  <c r="AS511" i="1"/>
  <c r="AT511" i="1"/>
  <c r="W511" i="1"/>
  <c r="AD511" i="1"/>
  <c r="AF511" i="1"/>
  <c r="AG511" i="1"/>
  <c r="AH511" i="1" s="1"/>
  <c r="AS510" i="1"/>
  <c r="AT510" i="1"/>
  <c r="W510" i="1"/>
  <c r="AD510" i="1"/>
  <c r="AS509" i="1"/>
  <c r="AT509" i="1"/>
  <c r="W509" i="1"/>
  <c r="AD509" i="1" s="1"/>
  <c r="AS508" i="1"/>
  <c r="AT508" i="1"/>
  <c r="W508" i="1"/>
  <c r="AD508" i="1"/>
  <c r="AS507" i="1"/>
  <c r="AT507" i="1"/>
  <c r="W507" i="1"/>
  <c r="AD507" i="1"/>
  <c r="AS506" i="1"/>
  <c r="AT506" i="1"/>
  <c r="W506" i="1"/>
  <c r="AS505" i="1"/>
  <c r="AT505" i="1"/>
  <c r="W505" i="1"/>
  <c r="AS504" i="1"/>
  <c r="AT504" i="1"/>
  <c r="W504" i="1"/>
  <c r="AD504" i="1"/>
  <c r="AS503" i="1"/>
  <c r="AT503" i="1"/>
  <c r="W503" i="1"/>
  <c r="AD503" i="1"/>
  <c r="AS502" i="1"/>
  <c r="AT502" i="1"/>
  <c r="W502" i="1"/>
  <c r="AD502" i="1"/>
  <c r="AS501" i="1"/>
  <c r="AT501" i="1"/>
  <c r="W501" i="1"/>
  <c r="AD501" i="1"/>
  <c r="AS500" i="1"/>
  <c r="AT500" i="1"/>
  <c r="W500" i="1"/>
  <c r="AD500" i="1" s="1"/>
  <c r="AS499" i="1"/>
  <c r="AT499" i="1"/>
  <c r="W499" i="1"/>
  <c r="A499" i="1"/>
  <c r="G499" i="1"/>
  <c r="AS498" i="1"/>
  <c r="AT498" i="1"/>
  <c r="W498" i="1"/>
  <c r="AD498" i="1"/>
  <c r="AF498" i="1" s="1"/>
  <c r="AG498" i="1" s="1"/>
  <c r="AH498" i="1" s="1"/>
  <c r="G498" i="1"/>
  <c r="A498" i="1"/>
  <c r="AS497" i="1"/>
  <c r="AT497" i="1"/>
  <c r="W497" i="1"/>
  <c r="AD497" i="1" s="1"/>
  <c r="AF497" i="1" s="1"/>
  <c r="AG497" i="1" s="1"/>
  <c r="AH497" i="1" s="1"/>
  <c r="A497" i="1"/>
  <c r="G497" i="1"/>
  <c r="AT496" i="1"/>
  <c r="AS496" i="1"/>
  <c r="W496" i="1"/>
  <c r="A496" i="1"/>
  <c r="G496" i="1"/>
  <c r="AS495" i="1"/>
  <c r="AT495" i="1"/>
  <c r="W495" i="1"/>
  <c r="AD495" i="1"/>
  <c r="AF495" i="1" s="1"/>
  <c r="G495" i="1"/>
  <c r="A495" i="1"/>
  <c r="AS494" i="1"/>
  <c r="AT494" i="1"/>
  <c r="W494" i="1"/>
  <c r="A494" i="1"/>
  <c r="G494" i="1"/>
  <c r="AT493" i="1"/>
  <c r="AS493" i="1"/>
  <c r="W493" i="1"/>
  <c r="AD493" i="1" s="1"/>
  <c r="G493" i="1"/>
  <c r="A493" i="1"/>
  <c r="AS492" i="1"/>
  <c r="AT492" i="1"/>
  <c r="W492" i="1"/>
  <c r="G492" i="1"/>
  <c r="A492" i="1"/>
  <c r="AT491" i="1"/>
  <c r="AS491" i="1"/>
  <c r="W491" i="1"/>
  <c r="AD491" i="1"/>
  <c r="AF491" i="1" s="1"/>
  <c r="A491" i="1"/>
  <c r="G491" i="1"/>
  <c r="W490" i="1"/>
  <c r="G490" i="1"/>
  <c r="A490" i="1"/>
  <c r="AS489" i="1"/>
  <c r="AT489" i="1"/>
  <c r="AS488" i="1"/>
  <c r="AT488" i="1"/>
  <c r="W488" i="1"/>
  <c r="AS487" i="1"/>
  <c r="AT487" i="1"/>
  <c r="W487" i="1"/>
  <c r="AS486" i="1"/>
  <c r="AT486" i="1"/>
  <c r="W486" i="1"/>
  <c r="W485" i="1"/>
  <c r="AD485" i="1"/>
  <c r="AF485" i="1"/>
  <c r="AG485" i="1"/>
  <c r="AH485" i="1" s="1"/>
  <c r="AS484" i="1"/>
  <c r="AT484" i="1"/>
  <c r="W484" i="1"/>
  <c r="AD484" i="1"/>
  <c r="AF484" i="1"/>
  <c r="AG484" i="1"/>
  <c r="AH484" i="1" s="1"/>
  <c r="AS483" i="1"/>
  <c r="AT483" i="1"/>
  <c r="W483" i="1"/>
  <c r="AD483" i="1"/>
  <c r="AF483" i="1"/>
  <c r="AG483" i="1"/>
  <c r="AH483" i="1" s="1"/>
  <c r="AS482" i="1"/>
  <c r="AT482" i="1"/>
  <c r="W482" i="1"/>
  <c r="AD482" i="1"/>
  <c r="AF482" i="1"/>
  <c r="AG482" i="1"/>
  <c r="AH482" i="1" s="1"/>
  <c r="AS481" i="1"/>
  <c r="AT481" i="1"/>
  <c r="W481" i="1"/>
  <c r="AD481" i="1"/>
  <c r="AF481" i="1"/>
  <c r="AG481" i="1"/>
  <c r="AH481" i="1" s="1"/>
  <c r="AS480" i="1"/>
  <c r="AT480" i="1"/>
  <c r="W480" i="1"/>
  <c r="AD480" i="1"/>
  <c r="AF480" i="1"/>
  <c r="AG480" i="1"/>
  <c r="AH480" i="1" s="1"/>
  <c r="AS479" i="1"/>
  <c r="AT479" i="1"/>
  <c r="W479" i="1"/>
  <c r="AD479" i="1"/>
  <c r="AF479" i="1"/>
  <c r="AG479" i="1"/>
  <c r="AH479" i="1" s="1"/>
  <c r="AS478" i="1"/>
  <c r="AT478" i="1"/>
  <c r="W478" i="1"/>
  <c r="AD478" i="1"/>
  <c r="AF478" i="1"/>
  <c r="AG478" i="1"/>
  <c r="AH478" i="1" s="1"/>
  <c r="AS477" i="1"/>
  <c r="AT477" i="1"/>
  <c r="W477" i="1"/>
  <c r="AD477" i="1"/>
  <c r="AS476" i="1"/>
  <c r="AT476" i="1"/>
  <c r="W476" i="1"/>
  <c r="AD476" i="1"/>
  <c r="AS475" i="1"/>
  <c r="AT475" i="1"/>
  <c r="W475" i="1"/>
  <c r="AD475" i="1"/>
  <c r="AS474" i="1"/>
  <c r="AT474" i="1"/>
  <c r="W474" i="1"/>
  <c r="AD474" i="1" s="1"/>
  <c r="AS473" i="1"/>
  <c r="AT473" i="1"/>
  <c r="W473" i="1"/>
  <c r="AD473" i="1"/>
  <c r="AS472" i="1"/>
  <c r="AT472" i="1"/>
  <c r="W472" i="1"/>
  <c r="AD472" i="1"/>
  <c r="AS471" i="1"/>
  <c r="AT471" i="1"/>
  <c r="W471" i="1"/>
  <c r="AD471" i="1" s="1"/>
  <c r="AS470" i="1"/>
  <c r="AT470" i="1"/>
  <c r="W470" i="1"/>
  <c r="AD470" i="1"/>
  <c r="AS469" i="1"/>
  <c r="AT469" i="1"/>
  <c r="W469" i="1"/>
  <c r="AD469" i="1"/>
  <c r="AS468" i="1"/>
  <c r="AT468" i="1"/>
  <c r="W468" i="1"/>
  <c r="AD468" i="1"/>
  <c r="AS467" i="1"/>
  <c r="AT467" i="1"/>
  <c r="W467" i="1"/>
  <c r="AD467" i="1"/>
  <c r="AS466" i="1"/>
  <c r="AT466" i="1"/>
  <c r="W466" i="1"/>
  <c r="AD466" i="1" s="1"/>
  <c r="AS465" i="1"/>
  <c r="AT465" i="1"/>
  <c r="W465" i="1"/>
  <c r="AD465" i="1"/>
  <c r="AS464" i="1"/>
  <c r="AT464" i="1"/>
  <c r="W464" i="1"/>
  <c r="AD464" i="1" s="1"/>
  <c r="AS463" i="1"/>
  <c r="AT463" i="1"/>
  <c r="W463" i="1"/>
  <c r="AD463" i="1"/>
  <c r="AS462" i="1"/>
  <c r="AT462" i="1"/>
  <c r="W462" i="1"/>
  <c r="AD462" i="1"/>
  <c r="AS461" i="1"/>
  <c r="AT461" i="1"/>
  <c r="W461" i="1"/>
  <c r="AD461" i="1"/>
  <c r="AS460" i="1"/>
  <c r="AT460" i="1"/>
  <c r="W460" i="1"/>
  <c r="AD460" i="1"/>
  <c r="AS459" i="1"/>
  <c r="AT459" i="1"/>
  <c r="W459" i="1"/>
  <c r="AD459" i="1"/>
  <c r="AS458" i="1"/>
  <c r="AT458" i="1"/>
  <c r="W458" i="1"/>
  <c r="AD458" i="1"/>
  <c r="AS457" i="1"/>
  <c r="AT457" i="1"/>
  <c r="W457" i="1"/>
  <c r="AD457" i="1"/>
  <c r="AS456" i="1"/>
  <c r="AT456" i="1"/>
  <c r="W456" i="1"/>
  <c r="AD456" i="1"/>
  <c r="AS455" i="1"/>
  <c r="AT455" i="1"/>
  <c r="W455" i="1"/>
  <c r="AD455" i="1"/>
  <c r="AS454" i="1"/>
  <c r="AT454" i="1"/>
  <c r="W454" i="1"/>
  <c r="AD454" i="1"/>
  <c r="AS453" i="1"/>
  <c r="AT453" i="1"/>
  <c r="W453" i="1"/>
  <c r="AS452" i="1"/>
  <c r="AT452" i="1"/>
  <c r="W452" i="1"/>
  <c r="AD452" i="1"/>
  <c r="AF452" i="1"/>
  <c r="AG452" i="1"/>
  <c r="AH452" i="1" s="1"/>
  <c r="AS451" i="1"/>
  <c r="AT451" i="1"/>
  <c r="W451" i="1"/>
  <c r="AD451" i="1"/>
  <c r="AF451" i="1"/>
  <c r="AG451" i="1"/>
  <c r="AH451" i="1" s="1"/>
  <c r="AS450" i="1"/>
  <c r="AT450" i="1"/>
  <c r="W450" i="1"/>
  <c r="AD450" i="1"/>
  <c r="AF450" i="1"/>
  <c r="AG450" i="1"/>
  <c r="AH450" i="1" s="1"/>
  <c r="AS449" i="1"/>
  <c r="AT449" i="1"/>
  <c r="W449" i="1"/>
  <c r="AD449" i="1"/>
  <c r="AF449" i="1"/>
  <c r="AG449" i="1"/>
  <c r="AH449" i="1" s="1"/>
  <c r="A449" i="1"/>
  <c r="G449" i="1"/>
  <c r="AS448" i="1"/>
  <c r="AT448" i="1"/>
  <c r="W448" i="1"/>
  <c r="AD448" i="1" s="1"/>
  <c r="G448" i="1"/>
  <c r="A448" i="1"/>
  <c r="AS447" i="1"/>
  <c r="AT447" i="1"/>
  <c r="W447" i="1"/>
  <c r="AD447" i="1"/>
  <c r="G447" i="1"/>
  <c r="A447" i="1"/>
  <c r="AS446" i="1"/>
  <c r="AT446" i="1"/>
  <c r="W446" i="1"/>
  <c r="AD446" i="1"/>
  <c r="AF446" i="1"/>
  <c r="AG446" i="1" s="1"/>
  <c r="AH446" i="1" s="1"/>
  <c r="A446" i="1"/>
  <c r="G446" i="1"/>
  <c r="AS445" i="1"/>
  <c r="AT445" i="1"/>
  <c r="W445" i="1"/>
  <c r="AD445" i="1"/>
  <c r="G445" i="1"/>
  <c r="A445" i="1"/>
  <c r="AS444" i="1"/>
  <c r="AT444" i="1"/>
  <c r="W444" i="1"/>
  <c r="AD444" i="1"/>
  <c r="AF444" i="1"/>
  <c r="AG444" i="1" s="1"/>
  <c r="AH444" i="1" s="1"/>
  <c r="G444" i="1"/>
  <c r="A444" i="1"/>
  <c r="AS443" i="1"/>
  <c r="AT443" i="1"/>
  <c r="W443" i="1"/>
  <c r="AD443" i="1"/>
  <c r="G443" i="1"/>
  <c r="A443" i="1"/>
  <c r="AT442" i="1"/>
  <c r="AS442" i="1"/>
  <c r="W442" i="1"/>
  <c r="G442" i="1"/>
  <c r="A442" i="1"/>
  <c r="AT441" i="1"/>
  <c r="AS441" i="1"/>
  <c r="W441" i="1"/>
  <c r="AD441" i="1"/>
  <c r="AF441" i="1" s="1"/>
  <c r="AG441" i="1" s="1"/>
  <c r="AH441" i="1" s="1"/>
  <c r="A441" i="1"/>
  <c r="G441" i="1"/>
  <c r="AS440" i="1"/>
  <c r="AT440" i="1"/>
  <c r="W440" i="1"/>
  <c r="AD440" i="1"/>
  <c r="AF440" i="1"/>
  <c r="AG440" i="1"/>
  <c r="AH440" i="1" s="1"/>
  <c r="AS439" i="1"/>
  <c r="AT439" i="1"/>
  <c r="W439" i="1"/>
  <c r="AD439" i="1"/>
  <c r="AF439" i="1"/>
  <c r="AG439" i="1" s="1"/>
  <c r="AH439" i="1" s="1"/>
  <c r="AS438" i="1"/>
  <c r="AT438" i="1"/>
  <c r="W438" i="1"/>
  <c r="AD438" i="1"/>
  <c r="AS437" i="1"/>
  <c r="AT437" i="1"/>
  <c r="W437" i="1"/>
  <c r="AD437" i="1"/>
  <c r="AS436" i="1"/>
  <c r="AT436" i="1"/>
  <c r="W436" i="1"/>
  <c r="AD436" i="1"/>
  <c r="AS435" i="1"/>
  <c r="AT435" i="1"/>
  <c r="W435" i="1"/>
  <c r="AD435" i="1"/>
  <c r="AS434" i="1"/>
  <c r="AT434" i="1"/>
  <c r="W434" i="1"/>
  <c r="AS433" i="1"/>
  <c r="AT433" i="1"/>
  <c r="W433" i="1"/>
  <c r="AD433" i="1"/>
  <c r="AS432" i="1"/>
  <c r="AT432" i="1"/>
  <c r="W432" i="1"/>
  <c r="AS431" i="1"/>
  <c r="AT431" i="1"/>
  <c r="W431" i="1"/>
  <c r="AS430" i="1"/>
  <c r="AT430" i="1"/>
  <c r="W430" i="1"/>
  <c r="AS429" i="1"/>
  <c r="AT429" i="1"/>
  <c r="W429" i="1"/>
  <c r="AS428" i="1"/>
  <c r="AT428" i="1"/>
  <c r="W428" i="1"/>
  <c r="AT427" i="1"/>
  <c r="AS427" i="1"/>
  <c r="W427" i="1"/>
  <c r="AS426" i="1"/>
  <c r="AT426" i="1"/>
  <c r="W426" i="1"/>
  <c r="AS425" i="1"/>
  <c r="AT425" i="1"/>
  <c r="W425" i="1"/>
  <c r="AT424" i="1"/>
  <c r="AS424" i="1"/>
  <c r="W424" i="1"/>
  <c r="W423" i="1"/>
  <c r="AS422" i="1"/>
  <c r="AT422" i="1"/>
  <c r="W422" i="1"/>
  <c r="AT421" i="1"/>
  <c r="AS421" i="1"/>
  <c r="W421" i="1"/>
  <c r="W420" i="1"/>
  <c r="AS419" i="1"/>
  <c r="AT419" i="1"/>
  <c r="W419" i="1"/>
  <c r="AS418" i="1"/>
  <c r="AT418" i="1"/>
  <c r="W418" i="1"/>
  <c r="AS417" i="1"/>
  <c r="AT417" i="1"/>
  <c r="W417" i="1"/>
  <c r="AS416" i="1"/>
  <c r="AT416" i="1"/>
  <c r="W416" i="1"/>
  <c r="AS415" i="1"/>
  <c r="AT415" i="1"/>
  <c r="W415" i="1"/>
  <c r="W414" i="1"/>
  <c r="AS413" i="1"/>
  <c r="AT413" i="1"/>
  <c r="W413" i="1"/>
  <c r="AS412" i="1"/>
  <c r="AT412" i="1"/>
  <c r="W412" i="1"/>
  <c r="AS411" i="1"/>
  <c r="AT411" i="1"/>
  <c r="W411" i="1"/>
  <c r="AS410" i="1"/>
  <c r="AT410" i="1"/>
  <c r="W410" i="1"/>
  <c r="AT409" i="1"/>
  <c r="AS409" i="1"/>
  <c r="W409" i="1"/>
  <c r="AT408" i="1"/>
  <c r="AS408" i="1"/>
  <c r="W408" i="1"/>
  <c r="W407" i="1"/>
  <c r="AS406" i="1"/>
  <c r="AT406" i="1"/>
  <c r="W406" i="1"/>
  <c r="AT405" i="1"/>
  <c r="AS405" i="1"/>
  <c r="W405" i="1"/>
  <c r="AS404" i="1"/>
  <c r="AT404" i="1"/>
  <c r="W404" i="1"/>
  <c r="AD404" i="1"/>
  <c r="AF404" i="1"/>
  <c r="AG404" i="1" s="1"/>
  <c r="AH404" i="1" s="1"/>
  <c r="AS403" i="1"/>
  <c r="AT403" i="1"/>
  <c r="W403" i="1"/>
  <c r="AD403" i="1"/>
  <c r="AS402" i="1"/>
  <c r="AT402" i="1"/>
  <c r="W402" i="1"/>
  <c r="AT401" i="1"/>
  <c r="AS401" i="1"/>
  <c r="W401" i="1"/>
  <c r="AD401" i="1"/>
  <c r="AS400" i="1"/>
  <c r="AT400" i="1"/>
  <c r="W400" i="1"/>
  <c r="A400" i="1"/>
  <c r="G400" i="1"/>
  <c r="AS399" i="1"/>
  <c r="AT399" i="1"/>
  <c r="W399" i="1"/>
  <c r="AD399" i="1" s="1"/>
  <c r="A399" i="1"/>
  <c r="G399" i="1"/>
  <c r="AS398" i="1"/>
  <c r="AT398" i="1"/>
  <c r="W398" i="1"/>
  <c r="AD398" i="1"/>
  <c r="G398" i="1"/>
  <c r="A398" i="1"/>
  <c r="AS397" i="1"/>
  <c r="AT397" i="1"/>
  <c r="W397" i="1"/>
  <c r="AD397" i="1"/>
  <c r="A397" i="1"/>
  <c r="G397" i="1"/>
  <c r="AT396" i="1"/>
  <c r="AS396" i="1"/>
  <c r="W396" i="1"/>
  <c r="AD396" i="1"/>
  <c r="A396" i="1"/>
  <c r="G396" i="1"/>
  <c r="AT395" i="1"/>
  <c r="AS395" i="1"/>
  <c r="W395" i="1"/>
  <c r="AD395" i="1"/>
  <c r="G395" i="1"/>
  <c r="A395" i="1"/>
  <c r="AS394" i="1"/>
  <c r="AT394" i="1"/>
  <c r="W394" i="1"/>
  <c r="G394" i="1"/>
  <c r="A394" i="1"/>
  <c r="AT393" i="1"/>
  <c r="AS393" i="1"/>
  <c r="W393" i="1"/>
  <c r="AS392" i="1"/>
  <c r="AT392" i="1"/>
  <c r="W392" i="1"/>
  <c r="AS391" i="1"/>
  <c r="AT391" i="1"/>
  <c r="W391" i="1"/>
  <c r="AD391" i="1"/>
  <c r="AS390" i="1"/>
  <c r="AT390" i="1"/>
  <c r="W390" i="1"/>
  <c r="AD390" i="1"/>
  <c r="AS389" i="1"/>
  <c r="AT389" i="1"/>
  <c r="W389" i="1"/>
  <c r="AD389" i="1"/>
  <c r="AT388" i="1"/>
  <c r="AS388" i="1"/>
  <c r="W388" i="1"/>
  <c r="AD388" i="1"/>
  <c r="AT387" i="1"/>
  <c r="AS387" i="1"/>
  <c r="W387" i="1"/>
  <c r="AD387" i="1"/>
  <c r="AT386" i="1"/>
  <c r="AS386" i="1"/>
  <c r="W386" i="1"/>
  <c r="AS385" i="1"/>
  <c r="AT385" i="1"/>
  <c r="W385" i="1"/>
  <c r="AD385" i="1"/>
  <c r="AS384" i="1"/>
  <c r="AT384" i="1"/>
  <c r="W384" i="1"/>
  <c r="AS383" i="1"/>
  <c r="AT383" i="1"/>
  <c r="W383" i="1"/>
  <c r="AD383" i="1" s="1"/>
  <c r="AS382" i="1"/>
  <c r="AT382" i="1"/>
  <c r="W382" i="1"/>
  <c r="AD382" i="1"/>
  <c r="AS381" i="1"/>
  <c r="AT381" i="1"/>
  <c r="W381" i="1"/>
  <c r="AS380" i="1"/>
  <c r="AT380" i="1"/>
  <c r="W380" i="1"/>
  <c r="AD380" i="1"/>
  <c r="AS379" i="1"/>
  <c r="AT379" i="1"/>
  <c r="W379" i="1"/>
  <c r="AD379" i="1"/>
  <c r="AT378" i="1"/>
  <c r="AS378" i="1"/>
  <c r="W378" i="1"/>
  <c r="AD378" i="1" s="1"/>
  <c r="AT377" i="1"/>
  <c r="AS377" i="1"/>
  <c r="W377" i="1"/>
  <c r="AD377" i="1"/>
  <c r="AS376" i="1"/>
  <c r="AT376" i="1"/>
  <c r="W376" i="1"/>
  <c r="AD376" i="1"/>
  <c r="AS375" i="1"/>
  <c r="AT375" i="1"/>
  <c r="W375" i="1"/>
  <c r="AD375" i="1"/>
  <c r="AS374" i="1"/>
  <c r="AT374" i="1"/>
  <c r="W374" i="1"/>
  <c r="AD374" i="1"/>
  <c r="AS373" i="1"/>
  <c r="AT373" i="1"/>
  <c r="W373" i="1"/>
  <c r="AD373" i="1" s="1"/>
  <c r="AS372" i="1"/>
  <c r="AT372" i="1"/>
  <c r="W372" i="1"/>
  <c r="AT371" i="1"/>
  <c r="AS371" i="1"/>
  <c r="W371" i="1"/>
  <c r="AD371" i="1"/>
  <c r="AS370" i="1"/>
  <c r="AT370" i="1"/>
  <c r="W370" i="1"/>
  <c r="AS369" i="1"/>
  <c r="AT369" i="1"/>
  <c r="W369" i="1"/>
  <c r="AS368" i="1"/>
  <c r="AT368" i="1"/>
  <c r="W368" i="1"/>
  <c r="AS367" i="1"/>
  <c r="AT367" i="1"/>
  <c r="W367" i="1"/>
  <c r="AD367" i="1" s="1"/>
  <c r="AS366" i="1"/>
  <c r="AT366" i="1"/>
  <c r="W366" i="1"/>
  <c r="AS365" i="1"/>
  <c r="AT365" i="1"/>
  <c r="W365" i="1"/>
  <c r="AD365" i="1"/>
  <c r="AS364" i="1"/>
  <c r="AT364" i="1"/>
  <c r="W364" i="1"/>
  <c r="AS363" i="1"/>
  <c r="AT363" i="1"/>
  <c r="W363" i="1"/>
  <c r="AS362" i="1"/>
  <c r="AT362" i="1"/>
  <c r="W362" i="1"/>
  <c r="AS361" i="1"/>
  <c r="AT361" i="1"/>
  <c r="W361" i="1"/>
  <c r="AS360" i="1"/>
  <c r="AT360" i="1"/>
  <c r="W360" i="1"/>
  <c r="AS359" i="1"/>
  <c r="AT359" i="1"/>
  <c r="W359" i="1"/>
  <c r="AS358" i="1"/>
  <c r="AT358" i="1"/>
  <c r="W358" i="1"/>
  <c r="A358" i="1"/>
  <c r="G358" i="1"/>
  <c r="AS357" i="1"/>
  <c r="AT357" i="1"/>
  <c r="W357" i="1"/>
  <c r="A357" i="1"/>
  <c r="G357" i="1"/>
  <c r="AS356" i="1"/>
  <c r="AT356" i="1"/>
  <c r="W356" i="1"/>
  <c r="G356" i="1"/>
  <c r="A356" i="1"/>
  <c r="AS355" i="1"/>
  <c r="AT355" i="1"/>
  <c r="W355" i="1"/>
  <c r="A355" i="1"/>
  <c r="G355" i="1"/>
  <c r="W354" i="1"/>
  <c r="G354" i="1"/>
  <c r="A354" i="1"/>
  <c r="AS353" i="1"/>
  <c r="AT353" i="1"/>
  <c r="W353" i="1"/>
  <c r="G353" i="1"/>
  <c r="A353" i="1"/>
  <c r="AS352" i="1"/>
  <c r="AT352" i="1"/>
  <c r="W352" i="1"/>
  <c r="A352" i="1"/>
  <c r="G352" i="1"/>
  <c r="AT351" i="1"/>
  <c r="AS351" i="1"/>
  <c r="W351" i="1"/>
  <c r="AD351" i="1"/>
  <c r="G351" i="1"/>
  <c r="A351" i="1"/>
  <c r="AS350" i="1"/>
  <c r="AT350" i="1"/>
  <c r="W350" i="1"/>
  <c r="A350" i="1"/>
  <c r="G350" i="1"/>
  <c r="AS349" i="1"/>
  <c r="AT349" i="1"/>
  <c r="W349" i="1"/>
  <c r="AD349" i="1"/>
  <c r="AF349" i="1" s="1"/>
  <c r="AG349" i="1" s="1"/>
  <c r="AH349" i="1" s="1"/>
  <c r="A349" i="1"/>
  <c r="G349" i="1"/>
  <c r="AS348" i="1"/>
  <c r="AT348" i="1"/>
  <c r="W348" i="1"/>
  <c r="AD348" i="1" s="1"/>
  <c r="A348" i="1"/>
  <c r="G348" i="1"/>
  <c r="AT347" i="1"/>
  <c r="AS347" i="1"/>
  <c r="W347" i="1"/>
  <c r="AD347" i="1"/>
  <c r="A347" i="1"/>
  <c r="G347" i="1"/>
  <c r="AS346" i="1"/>
  <c r="AT346" i="1"/>
  <c r="W346" i="1"/>
  <c r="AD346" i="1" s="1"/>
  <c r="G346" i="1"/>
  <c r="A346" i="1"/>
  <c r="AS345" i="1"/>
  <c r="AT345" i="1"/>
  <c r="W345" i="1"/>
  <c r="AD345" i="1"/>
  <c r="AS344" i="1"/>
  <c r="AT344" i="1"/>
  <c r="W344" i="1"/>
  <c r="AD344" i="1"/>
  <c r="AF344" i="1"/>
  <c r="AG344" i="1"/>
  <c r="AH344" i="1" s="1"/>
  <c r="AS343" i="1"/>
  <c r="AT343" i="1"/>
  <c r="W343" i="1"/>
  <c r="AD343" i="1"/>
  <c r="AF343" i="1"/>
  <c r="AG343" i="1"/>
  <c r="AH343" i="1" s="1"/>
  <c r="AS342" i="1"/>
  <c r="AT342" i="1"/>
  <c r="W342" i="1"/>
  <c r="AD342" i="1"/>
  <c r="AF342" i="1"/>
  <c r="AG342" i="1"/>
  <c r="AH342" i="1" s="1"/>
  <c r="AS341" i="1"/>
  <c r="AT341" i="1"/>
  <c r="W341" i="1"/>
  <c r="AD341" i="1"/>
  <c r="AF341" i="1"/>
  <c r="AG341" i="1"/>
  <c r="AH341" i="1" s="1"/>
  <c r="AS340" i="1"/>
  <c r="AT340" i="1"/>
  <c r="W340" i="1"/>
  <c r="AD340" i="1"/>
  <c r="AF340" i="1"/>
  <c r="AG340" i="1"/>
  <c r="AH340" i="1" s="1"/>
  <c r="AS339" i="1"/>
  <c r="AT339" i="1"/>
  <c r="W339" i="1"/>
  <c r="AD339" i="1"/>
  <c r="AF339" i="1"/>
  <c r="AG339" i="1"/>
  <c r="AH339" i="1" s="1"/>
  <c r="AS338" i="1"/>
  <c r="AT338" i="1"/>
  <c r="W338" i="1"/>
  <c r="AD338" i="1"/>
  <c r="AF338" i="1"/>
  <c r="AG338" i="1"/>
  <c r="AH338" i="1" s="1"/>
  <c r="AS337" i="1"/>
  <c r="AT337" i="1"/>
  <c r="W337" i="1"/>
  <c r="AD337" i="1"/>
  <c r="AF337" i="1"/>
  <c r="AG337" i="1"/>
  <c r="AH337" i="1" s="1"/>
  <c r="AS336" i="1"/>
  <c r="AT336" i="1"/>
  <c r="W336" i="1"/>
  <c r="AD336" i="1"/>
  <c r="AF336" i="1"/>
  <c r="AG336" i="1"/>
  <c r="AH336" i="1" s="1"/>
  <c r="AS335" i="1"/>
  <c r="AT335" i="1"/>
  <c r="W335" i="1"/>
  <c r="AD335" i="1"/>
  <c r="AF335" i="1"/>
  <c r="AG335" i="1"/>
  <c r="AH335" i="1" s="1"/>
  <c r="AS334" i="1"/>
  <c r="AT334" i="1"/>
  <c r="W334" i="1"/>
  <c r="AD334" i="1"/>
  <c r="AF334" i="1"/>
  <c r="AG334" i="1"/>
  <c r="AH334" i="1" s="1"/>
  <c r="AS333" i="1"/>
  <c r="AT333" i="1"/>
  <c r="W333" i="1"/>
  <c r="AD333" i="1"/>
  <c r="AF333" i="1"/>
  <c r="AG333" i="1"/>
  <c r="AH333" i="1" s="1"/>
  <c r="AS332" i="1"/>
  <c r="AT332" i="1"/>
  <c r="W332" i="1"/>
  <c r="AD332" i="1"/>
  <c r="AF332" i="1"/>
  <c r="AG332" i="1" s="1"/>
  <c r="AH332" i="1" s="1"/>
  <c r="AS331" i="1"/>
  <c r="AT331" i="1"/>
  <c r="W331" i="1"/>
  <c r="AD331" i="1"/>
  <c r="AS330" i="1"/>
  <c r="AT330" i="1"/>
  <c r="W330" i="1"/>
  <c r="AD330" i="1"/>
  <c r="AS329" i="1"/>
  <c r="AT329" i="1"/>
  <c r="W329" i="1"/>
  <c r="AD329" i="1"/>
  <c r="AS328" i="1"/>
  <c r="AT328" i="1"/>
  <c r="W328" i="1"/>
  <c r="AD328" i="1"/>
  <c r="AS327" i="1"/>
  <c r="AT327" i="1"/>
  <c r="W327" i="1"/>
  <c r="AD327" i="1"/>
  <c r="AS326" i="1"/>
  <c r="AT326" i="1"/>
  <c r="W326" i="1"/>
  <c r="AD326" i="1" s="1"/>
  <c r="AS325" i="1"/>
  <c r="AT325" i="1"/>
  <c r="W325" i="1"/>
  <c r="AD325" i="1"/>
  <c r="AS324" i="1"/>
  <c r="AT324" i="1"/>
  <c r="W324" i="1"/>
  <c r="AD324" i="1"/>
  <c r="AS323" i="1"/>
  <c r="AT323" i="1"/>
  <c r="W323" i="1"/>
  <c r="AD323" i="1"/>
  <c r="AS322" i="1"/>
  <c r="AT322" i="1"/>
  <c r="W322" i="1"/>
  <c r="AD322" i="1"/>
  <c r="AS321" i="1"/>
  <c r="AT321" i="1"/>
  <c r="W321" i="1"/>
  <c r="AD321" i="1"/>
  <c r="AS320" i="1"/>
  <c r="AT320" i="1"/>
  <c r="W320" i="1"/>
  <c r="AD320" i="1"/>
  <c r="AS319" i="1"/>
  <c r="AT319" i="1"/>
  <c r="W319" i="1"/>
  <c r="AD319" i="1"/>
  <c r="AS318" i="1"/>
  <c r="AT318" i="1"/>
  <c r="W318" i="1"/>
  <c r="AD318" i="1"/>
  <c r="AS317" i="1"/>
  <c r="AT317" i="1"/>
  <c r="W317" i="1"/>
  <c r="AD317" i="1"/>
  <c r="AS316" i="1"/>
  <c r="AT316" i="1"/>
  <c r="W316" i="1"/>
  <c r="AD316" i="1"/>
  <c r="AS315" i="1"/>
  <c r="AT315" i="1"/>
  <c r="W315" i="1"/>
  <c r="AD315" i="1"/>
  <c r="AS314" i="1"/>
  <c r="AT314" i="1"/>
  <c r="W314" i="1"/>
  <c r="AD314" i="1"/>
  <c r="AS313" i="1"/>
  <c r="AT313" i="1"/>
  <c r="W313" i="1"/>
  <c r="AD313" i="1"/>
  <c r="AS312" i="1"/>
  <c r="AT312" i="1"/>
  <c r="W312" i="1"/>
  <c r="AD312" i="1"/>
  <c r="AS311" i="1"/>
  <c r="AT311" i="1"/>
  <c r="W311" i="1"/>
  <c r="AD311" i="1"/>
  <c r="AS310" i="1"/>
  <c r="AT310" i="1"/>
  <c r="W310" i="1"/>
  <c r="AD310" i="1"/>
  <c r="AS309" i="1"/>
  <c r="AT309" i="1"/>
  <c r="W309" i="1"/>
  <c r="AD309" i="1"/>
  <c r="AF309" i="1" s="1"/>
  <c r="AS308" i="1"/>
  <c r="AT308" i="1"/>
  <c r="W308" i="1"/>
  <c r="W307" i="1"/>
  <c r="AS306" i="1"/>
  <c r="AT306" i="1"/>
  <c r="W306" i="1"/>
  <c r="AD306" i="1"/>
  <c r="AF306" i="1"/>
  <c r="AG306" i="1"/>
  <c r="AH306" i="1" s="1"/>
  <c r="AS305" i="1"/>
  <c r="AT305" i="1"/>
  <c r="W305" i="1"/>
  <c r="AD305" i="1"/>
  <c r="AF305" i="1"/>
  <c r="AG305" i="1"/>
  <c r="AH305" i="1" s="1"/>
  <c r="AS304" i="1"/>
  <c r="AT304" i="1"/>
  <c r="W304" i="1"/>
  <c r="AD304" i="1"/>
  <c r="AF304" i="1"/>
  <c r="AG304" i="1"/>
  <c r="AH304" i="1" s="1"/>
  <c r="AS303" i="1"/>
  <c r="AT303" i="1"/>
  <c r="W303" i="1"/>
  <c r="AD303" i="1"/>
  <c r="AF303" i="1"/>
  <c r="AG303" i="1"/>
  <c r="AH303" i="1" s="1"/>
  <c r="AS302" i="1"/>
  <c r="AT302" i="1"/>
  <c r="W302" i="1"/>
  <c r="AD302" i="1"/>
  <c r="AF302" i="1"/>
  <c r="AG302" i="1"/>
  <c r="AH302" i="1" s="1"/>
  <c r="AS301" i="1"/>
  <c r="AT301" i="1"/>
  <c r="W301" i="1"/>
  <c r="AD301" i="1"/>
  <c r="AF301" i="1"/>
  <c r="AG301" i="1"/>
  <c r="AH301" i="1" s="1"/>
  <c r="AS300" i="1"/>
  <c r="AT300" i="1"/>
  <c r="W300" i="1"/>
  <c r="AD300" i="1"/>
  <c r="AF300" i="1"/>
  <c r="AG300" i="1"/>
  <c r="AH300" i="1" s="1"/>
  <c r="AS299" i="1"/>
  <c r="AT299" i="1"/>
  <c r="W299" i="1"/>
  <c r="AD299" i="1"/>
  <c r="AF299" i="1"/>
  <c r="AG299" i="1"/>
  <c r="AH299" i="1" s="1"/>
  <c r="AS298" i="1"/>
  <c r="AT298" i="1"/>
  <c r="W298" i="1"/>
  <c r="AD298" i="1"/>
  <c r="AF298" i="1"/>
  <c r="AG298" i="1"/>
  <c r="AH298" i="1" s="1"/>
  <c r="AT297" i="1"/>
  <c r="AS297" i="1"/>
  <c r="W297" i="1"/>
  <c r="AD297" i="1"/>
  <c r="AF297" i="1"/>
  <c r="AG297" i="1"/>
  <c r="AH297" i="1" s="1"/>
  <c r="AS296" i="1"/>
  <c r="AT296" i="1"/>
  <c r="W296" i="1"/>
  <c r="AD296" i="1"/>
  <c r="AF296" i="1"/>
  <c r="AG296" i="1"/>
  <c r="AH296" i="1" s="1"/>
  <c r="AS295" i="1"/>
  <c r="AT295" i="1"/>
  <c r="W295" i="1"/>
  <c r="AD295" i="1"/>
  <c r="AF295" i="1"/>
  <c r="AG295" i="1"/>
  <c r="AH295" i="1" s="1"/>
  <c r="AS294" i="1"/>
  <c r="AT294" i="1"/>
  <c r="W294" i="1"/>
  <c r="AD294" i="1"/>
  <c r="AF294" i="1"/>
  <c r="AG294" i="1"/>
  <c r="AH294" i="1" s="1"/>
  <c r="AS293" i="1"/>
  <c r="AT293" i="1"/>
  <c r="W293" i="1"/>
  <c r="AD293" i="1"/>
  <c r="AF293" i="1"/>
  <c r="AG293" i="1"/>
  <c r="AH293" i="1" s="1"/>
  <c r="AS292" i="1"/>
  <c r="AT292" i="1"/>
  <c r="W292" i="1"/>
  <c r="AD292" i="1"/>
  <c r="AF292" i="1"/>
  <c r="AG292" i="1"/>
  <c r="AH292" i="1" s="1"/>
  <c r="AS291" i="1"/>
  <c r="AT291" i="1"/>
  <c r="W291" i="1"/>
  <c r="AD291" i="1"/>
  <c r="AF291" i="1"/>
  <c r="AG291" i="1"/>
  <c r="AH291" i="1" s="1"/>
  <c r="AS290" i="1"/>
  <c r="AT290" i="1"/>
  <c r="W290" i="1"/>
  <c r="AD290" i="1"/>
  <c r="AF290" i="1"/>
  <c r="AG290" i="1"/>
  <c r="AH290" i="1" s="1"/>
  <c r="AS289" i="1"/>
  <c r="AT289" i="1"/>
  <c r="W289" i="1"/>
  <c r="AD289" i="1"/>
  <c r="AF289" i="1"/>
  <c r="AG289" i="1"/>
  <c r="AH289" i="1" s="1"/>
  <c r="AS288" i="1"/>
  <c r="AT288" i="1"/>
  <c r="W288" i="1"/>
  <c r="AD288" i="1"/>
  <c r="AF288" i="1"/>
  <c r="AG288" i="1"/>
  <c r="AH288" i="1" s="1"/>
  <c r="AS287" i="1"/>
  <c r="AT287" i="1"/>
  <c r="W287" i="1"/>
  <c r="AD287" i="1"/>
  <c r="AF287" i="1"/>
  <c r="AG287" i="1"/>
  <c r="AH287" i="1" s="1"/>
  <c r="AS286" i="1"/>
  <c r="AT286" i="1"/>
  <c r="W286" i="1"/>
  <c r="AD286" i="1"/>
  <c r="AF286" i="1"/>
  <c r="AG286" i="1"/>
  <c r="AH286" i="1" s="1"/>
  <c r="AS285" i="1"/>
  <c r="AT285" i="1"/>
  <c r="W285" i="1"/>
  <c r="AD285" i="1"/>
  <c r="AF285" i="1"/>
  <c r="AG285" i="1"/>
  <c r="AH285" i="1" s="1"/>
  <c r="AS284" i="1"/>
  <c r="AT284" i="1"/>
  <c r="W284" i="1"/>
  <c r="AD284" i="1"/>
  <c r="AF284" i="1"/>
  <c r="AG284" i="1"/>
  <c r="AH284" i="1" s="1"/>
  <c r="AS283" i="1"/>
  <c r="AT283" i="1"/>
  <c r="W283" i="1"/>
  <c r="AD283" i="1"/>
  <c r="AF283" i="1"/>
  <c r="AG283" i="1"/>
  <c r="AH283" i="1" s="1"/>
  <c r="AS282" i="1"/>
  <c r="AT282" i="1"/>
  <c r="W282" i="1"/>
  <c r="AD282" i="1"/>
  <c r="AF282" i="1"/>
  <c r="AG282" i="1"/>
  <c r="AH282" i="1" s="1"/>
  <c r="AS281" i="1"/>
  <c r="AT281" i="1"/>
  <c r="W281" i="1"/>
  <c r="AD281" i="1"/>
  <c r="AF281" i="1"/>
  <c r="AG281" i="1"/>
  <c r="AH281" i="1" s="1"/>
  <c r="AS280" i="1"/>
  <c r="AT280" i="1"/>
  <c r="W280" i="1"/>
  <c r="AD280" i="1"/>
  <c r="AF280" i="1"/>
  <c r="AG280" i="1"/>
  <c r="AH280" i="1" s="1"/>
  <c r="AS279" i="1"/>
  <c r="AT279" i="1"/>
  <c r="W279" i="1"/>
  <c r="AD279" i="1"/>
  <c r="AS278" i="1"/>
  <c r="AT278" i="1"/>
  <c r="W278" i="1"/>
  <c r="AD278" i="1"/>
  <c r="AS277" i="1"/>
  <c r="AT277" i="1"/>
  <c r="W277" i="1"/>
  <c r="AD277" i="1"/>
  <c r="AS276" i="1"/>
  <c r="AT276" i="1"/>
  <c r="W276" i="1"/>
  <c r="AD276" i="1" s="1"/>
  <c r="AS275" i="1"/>
  <c r="AT275" i="1"/>
  <c r="W275" i="1"/>
  <c r="AD275" i="1" s="1"/>
  <c r="AS274" i="1"/>
  <c r="AT274" i="1"/>
  <c r="W274" i="1"/>
  <c r="AD274" i="1" s="1"/>
  <c r="AS273" i="1"/>
  <c r="AT273" i="1"/>
  <c r="W273" i="1"/>
  <c r="AD273" i="1" s="1"/>
  <c r="AS272" i="1"/>
  <c r="AT272" i="1"/>
  <c r="W272" i="1"/>
  <c r="AS271" i="1"/>
  <c r="AT271" i="1"/>
  <c r="W271" i="1"/>
  <c r="AD271" i="1"/>
  <c r="AS270" i="1"/>
  <c r="AT270" i="1"/>
  <c r="W270" i="1"/>
  <c r="AD270" i="1"/>
  <c r="AS269" i="1"/>
  <c r="AT269" i="1"/>
  <c r="W269" i="1"/>
  <c r="AD269" i="1"/>
  <c r="AS268" i="1"/>
  <c r="AT268" i="1"/>
  <c r="W268" i="1"/>
  <c r="AD268" i="1"/>
  <c r="AS267" i="1"/>
  <c r="AT267" i="1"/>
  <c r="W267" i="1"/>
  <c r="AD267" i="1"/>
  <c r="AS266" i="1"/>
  <c r="AT266" i="1"/>
  <c r="W266" i="1"/>
  <c r="AD266" i="1"/>
  <c r="AS265" i="1"/>
  <c r="AT265" i="1"/>
  <c r="W265" i="1"/>
  <c r="AD265" i="1"/>
  <c r="AS264" i="1"/>
  <c r="AT264" i="1"/>
  <c r="W264" i="1"/>
  <c r="AD264" i="1"/>
  <c r="AS263" i="1"/>
  <c r="AT263" i="1"/>
  <c r="W263" i="1"/>
  <c r="AD263" i="1"/>
  <c r="AS262" i="1"/>
  <c r="AT262" i="1"/>
  <c r="W262" i="1"/>
  <c r="AD262" i="1"/>
  <c r="AS261" i="1"/>
  <c r="AT261" i="1"/>
  <c r="W261" i="1"/>
  <c r="AD261" i="1"/>
  <c r="AS260" i="1"/>
  <c r="AT260" i="1"/>
  <c r="W260" i="1"/>
  <c r="AD260" i="1"/>
  <c r="AS259" i="1"/>
  <c r="AT259" i="1"/>
  <c r="W259" i="1"/>
  <c r="AD259" i="1"/>
  <c r="AS258" i="1"/>
  <c r="AT258" i="1"/>
  <c r="W258" i="1"/>
  <c r="AD258" i="1" s="1"/>
  <c r="AS257" i="1"/>
  <c r="AT257" i="1"/>
  <c r="W257" i="1"/>
  <c r="AD257" i="1"/>
  <c r="AS256" i="1"/>
  <c r="AT256" i="1"/>
  <c r="W256" i="1"/>
  <c r="AD256" i="1"/>
  <c r="AS255" i="1"/>
  <c r="AT255" i="1"/>
  <c r="W255" i="1"/>
  <c r="AD255" i="1"/>
  <c r="AS254" i="1"/>
  <c r="AT254" i="1"/>
  <c r="W254" i="1"/>
  <c r="AS253" i="1"/>
  <c r="AT253" i="1"/>
  <c r="W253" i="1"/>
  <c r="W252" i="1"/>
  <c r="AS251" i="1"/>
  <c r="AT251" i="1"/>
  <c r="W251" i="1"/>
  <c r="AS250" i="1"/>
  <c r="AT250" i="1"/>
  <c r="W250" i="1"/>
  <c r="AD250" i="1"/>
  <c r="AF250" i="1"/>
  <c r="AG250" i="1"/>
  <c r="AH250" i="1" s="1"/>
  <c r="W249" i="1"/>
  <c r="AS248" i="1"/>
  <c r="AT248" i="1"/>
  <c r="W248" i="1"/>
  <c r="AS247" i="1"/>
  <c r="AT247" i="1"/>
  <c r="W247" i="1"/>
  <c r="AS246" i="1"/>
  <c r="AT246" i="1"/>
  <c r="W246" i="1"/>
  <c r="AS245" i="1"/>
  <c r="AT245" i="1"/>
  <c r="W245" i="1"/>
  <c r="AS244" i="1"/>
  <c r="AT244" i="1"/>
  <c r="W244" i="1"/>
  <c r="AS243" i="1"/>
  <c r="AT243" i="1"/>
  <c r="W243" i="1"/>
  <c r="AS242" i="1"/>
  <c r="AT242" i="1"/>
  <c r="W242" i="1"/>
  <c r="AS241" i="1"/>
  <c r="AT241" i="1"/>
  <c r="W241" i="1"/>
  <c r="AS240" i="1"/>
  <c r="AT240" i="1"/>
  <c r="AS239" i="1"/>
  <c r="AT239" i="1"/>
  <c r="W239" i="1"/>
  <c r="AS238" i="1"/>
  <c r="AT238" i="1"/>
  <c r="W238" i="1"/>
  <c r="AS237" i="1"/>
  <c r="AT237" i="1"/>
  <c r="W237" i="1"/>
  <c r="W236" i="1"/>
  <c r="AS235" i="1"/>
  <c r="AT235" i="1"/>
  <c r="W235" i="1"/>
  <c r="AS234" i="1"/>
  <c r="AT234" i="1"/>
  <c r="W234" i="1"/>
  <c r="AS233" i="1"/>
  <c r="AT233" i="1"/>
  <c r="W233" i="1"/>
  <c r="AS232" i="1"/>
  <c r="AT232" i="1"/>
  <c r="W232" i="1"/>
  <c r="AS231" i="1"/>
  <c r="AT231" i="1"/>
  <c r="W231" i="1"/>
  <c r="AS230" i="1"/>
  <c r="AT230" i="1"/>
  <c r="W230" i="1"/>
  <c r="AS229" i="1"/>
  <c r="AT229" i="1"/>
  <c r="W229" i="1"/>
  <c r="AS228" i="1"/>
  <c r="AT228" i="1"/>
  <c r="W228" i="1"/>
  <c r="AS227" i="1"/>
  <c r="AT227" i="1"/>
  <c r="W227" i="1"/>
  <c r="AD227" i="1"/>
  <c r="AF227" i="1"/>
  <c r="AG227" i="1"/>
  <c r="AH227" i="1" s="1"/>
  <c r="AS226" i="1"/>
  <c r="AT226" i="1"/>
  <c r="W226" i="1"/>
  <c r="AD226" i="1"/>
  <c r="AF226" i="1"/>
  <c r="AG226" i="1"/>
  <c r="AH226" i="1" s="1"/>
  <c r="AS225" i="1"/>
  <c r="AT225" i="1"/>
  <c r="W225" i="1"/>
  <c r="AD225" i="1"/>
  <c r="AF225" i="1"/>
  <c r="AG225" i="1"/>
  <c r="AH225" i="1" s="1"/>
  <c r="AS224" i="1"/>
  <c r="AT224" i="1"/>
  <c r="W224" i="1"/>
  <c r="AD224" i="1"/>
  <c r="AF224" i="1"/>
  <c r="AG224" i="1"/>
  <c r="AH224" i="1" s="1"/>
  <c r="AS223" i="1"/>
  <c r="AT223" i="1"/>
  <c r="W223" i="1"/>
  <c r="AD223" i="1"/>
  <c r="AF223" i="1"/>
  <c r="AG223" i="1"/>
  <c r="AH223" i="1" s="1"/>
  <c r="AS222" i="1"/>
  <c r="AT222" i="1"/>
  <c r="W222" i="1"/>
  <c r="AD222" i="1"/>
  <c r="AF222" i="1"/>
  <c r="AG222" i="1"/>
  <c r="AH222" i="1" s="1"/>
  <c r="AS221" i="1"/>
  <c r="AT221" i="1"/>
  <c r="W221" i="1"/>
  <c r="AD221" i="1"/>
  <c r="AF221" i="1"/>
  <c r="AG221" i="1"/>
  <c r="AH221" i="1" s="1"/>
  <c r="AS220" i="1"/>
  <c r="AT220" i="1"/>
  <c r="W220" i="1"/>
  <c r="AD220" i="1"/>
  <c r="AF220" i="1"/>
  <c r="AG220" i="1"/>
  <c r="AH220" i="1" s="1"/>
  <c r="AS219" i="1"/>
  <c r="AT219" i="1"/>
  <c r="W219" i="1"/>
  <c r="AD219" i="1"/>
  <c r="AF219" i="1"/>
  <c r="AG219" i="1"/>
  <c r="AH219" i="1" s="1"/>
  <c r="AS218" i="1"/>
  <c r="AT218" i="1"/>
  <c r="W218" i="1"/>
  <c r="AD218" i="1"/>
  <c r="AF218" i="1"/>
  <c r="AG218" i="1"/>
  <c r="AH218" i="1" s="1"/>
  <c r="AS217" i="1"/>
  <c r="AT217" i="1"/>
  <c r="W217" i="1"/>
  <c r="AD217" i="1"/>
  <c r="AF217" i="1"/>
  <c r="AG217" i="1"/>
  <c r="AH217" i="1" s="1"/>
  <c r="AS216" i="1"/>
  <c r="AT216" i="1"/>
  <c r="W216" i="1"/>
  <c r="AD216" i="1"/>
  <c r="AF216" i="1"/>
  <c r="AG216" i="1"/>
  <c r="AH216" i="1" s="1"/>
  <c r="AS215" i="1"/>
  <c r="AT215" i="1"/>
  <c r="W215" i="1"/>
  <c r="AD215" i="1"/>
  <c r="AF215" i="1"/>
  <c r="AG215" i="1"/>
  <c r="AH215" i="1" s="1"/>
  <c r="AS214" i="1"/>
  <c r="AT214" i="1"/>
  <c r="W214" i="1"/>
  <c r="AD214" i="1"/>
  <c r="AS213" i="1"/>
  <c r="AT213" i="1"/>
  <c r="W213" i="1"/>
  <c r="AD213" i="1" s="1"/>
  <c r="AS212" i="1"/>
  <c r="AT212" i="1"/>
  <c r="W212" i="1"/>
  <c r="AD212" i="1"/>
  <c r="AS211" i="1"/>
  <c r="AT211" i="1"/>
  <c r="W211" i="1"/>
  <c r="AD211" i="1"/>
  <c r="AS210" i="1"/>
  <c r="AT210" i="1"/>
  <c r="W210" i="1"/>
  <c r="AS209" i="1"/>
  <c r="AT209" i="1"/>
  <c r="W209" i="1"/>
  <c r="AD209" i="1"/>
  <c r="AF209" i="1"/>
  <c r="AG209" i="1"/>
  <c r="AH209" i="1" s="1"/>
  <c r="AS208" i="1"/>
  <c r="AT208" i="1"/>
  <c r="W208" i="1"/>
  <c r="AD208" i="1"/>
  <c r="AF208" i="1"/>
  <c r="AG208" i="1"/>
  <c r="AH208" i="1" s="1"/>
  <c r="AS207" i="1"/>
  <c r="AT207" i="1"/>
  <c r="W207" i="1"/>
  <c r="AD207" i="1"/>
  <c r="AF207" i="1"/>
  <c r="AG207" i="1"/>
  <c r="AH207" i="1" s="1"/>
  <c r="AS206" i="1"/>
  <c r="AT206" i="1"/>
  <c r="W206" i="1"/>
  <c r="AD206" i="1"/>
  <c r="AF206" i="1"/>
  <c r="AG206" i="1"/>
  <c r="AH206" i="1" s="1"/>
  <c r="AS205" i="1"/>
  <c r="AT205" i="1"/>
  <c r="W205" i="1"/>
  <c r="AD205" i="1"/>
  <c r="AF205" i="1"/>
  <c r="AG205" i="1"/>
  <c r="AH205" i="1" s="1"/>
  <c r="AS204" i="1"/>
  <c r="AT204" i="1"/>
  <c r="W204" i="1"/>
  <c r="AD204" i="1"/>
  <c r="AS203" i="1"/>
  <c r="AT203" i="1"/>
  <c r="W203" i="1"/>
  <c r="AD203" i="1"/>
  <c r="AF203" i="1"/>
  <c r="AG203" i="1"/>
  <c r="AH203" i="1" s="1"/>
  <c r="G203" i="1"/>
  <c r="A203" i="1"/>
  <c r="AS202" i="1"/>
  <c r="AT202" i="1"/>
  <c r="W202" i="1"/>
  <c r="AD202" i="1"/>
  <c r="AF202" i="1"/>
  <c r="AG202" i="1"/>
  <c r="AH202" i="1" s="1"/>
  <c r="AS201" i="1"/>
  <c r="AT201" i="1"/>
  <c r="W201" i="1"/>
  <c r="AG201" i="1" s="1"/>
  <c r="AH201" i="1" s="1"/>
  <c r="AD201" i="1"/>
  <c r="AF201" i="1"/>
  <c r="AS200" i="1"/>
  <c r="AT200" i="1"/>
  <c r="W200" i="1"/>
  <c r="AS199" i="1"/>
  <c r="AT199" i="1"/>
  <c r="W199" i="1"/>
  <c r="W198" i="1"/>
  <c r="AS197" i="1"/>
  <c r="AT197" i="1"/>
  <c r="W197" i="1"/>
  <c r="AS196" i="1"/>
  <c r="AT196" i="1"/>
  <c r="W196" i="1"/>
  <c r="AS195" i="1"/>
  <c r="AT195" i="1"/>
  <c r="W195" i="1"/>
  <c r="AS194" i="1"/>
  <c r="AT194" i="1"/>
  <c r="W194" i="1"/>
  <c r="W193" i="1"/>
  <c r="AS192" i="1"/>
  <c r="AT192" i="1"/>
  <c r="W192" i="1"/>
  <c r="AD192" i="1"/>
  <c r="AF192" i="1"/>
  <c r="AG192" i="1"/>
  <c r="AH192" i="1" s="1"/>
  <c r="AS191" i="1"/>
  <c r="AT191" i="1"/>
  <c r="W191" i="1"/>
  <c r="AS190" i="1"/>
  <c r="AT190" i="1"/>
  <c r="W190" i="1"/>
  <c r="W189" i="1"/>
  <c r="AS188" i="1"/>
  <c r="AT188" i="1"/>
  <c r="W188" i="1"/>
  <c r="AS187" i="1"/>
  <c r="AT187" i="1"/>
  <c r="W187" i="1"/>
  <c r="AS186" i="1"/>
  <c r="AT186" i="1"/>
  <c r="W186" i="1"/>
  <c r="AS185" i="1"/>
  <c r="AT185" i="1"/>
  <c r="W185" i="1"/>
  <c r="W184" i="1"/>
  <c r="AS183" i="1"/>
  <c r="AT183" i="1"/>
  <c r="W183" i="1"/>
  <c r="AS182" i="1"/>
  <c r="AT182" i="1"/>
  <c r="W182" i="1"/>
  <c r="AS181" i="1"/>
  <c r="AT181" i="1"/>
  <c r="W181" i="1"/>
  <c r="AS180" i="1"/>
  <c r="AT180" i="1"/>
  <c r="W180" i="1"/>
  <c r="W179" i="1"/>
  <c r="AS178" i="1"/>
  <c r="AT178" i="1"/>
  <c r="W178" i="1"/>
  <c r="AS177" i="1"/>
  <c r="AT177" i="1"/>
  <c r="W177" i="1"/>
  <c r="AS176" i="1"/>
  <c r="AT176" i="1"/>
  <c r="W176" i="1"/>
  <c r="AS175" i="1"/>
  <c r="AT175" i="1"/>
  <c r="W175" i="1"/>
  <c r="W174" i="1"/>
  <c r="AS173" i="1"/>
  <c r="AT173" i="1"/>
  <c r="W173" i="1"/>
  <c r="AS172" i="1"/>
  <c r="AT172" i="1"/>
  <c r="W172" i="1"/>
  <c r="AS171" i="1"/>
  <c r="AT171" i="1"/>
  <c r="W171" i="1"/>
  <c r="AS170" i="1"/>
  <c r="AT170" i="1"/>
  <c r="W170" i="1"/>
  <c r="AS169" i="1"/>
  <c r="AT169" i="1"/>
  <c r="W169" i="1"/>
  <c r="W168" i="1"/>
  <c r="AS167" i="1"/>
  <c r="AT167" i="1"/>
  <c r="W167" i="1"/>
  <c r="AS166" i="1"/>
  <c r="AT166" i="1"/>
  <c r="W166" i="1"/>
  <c r="AS165" i="1"/>
  <c r="AT165" i="1"/>
  <c r="W165" i="1"/>
  <c r="AS164" i="1"/>
  <c r="AT164" i="1"/>
  <c r="W164" i="1"/>
  <c r="AS163" i="1"/>
  <c r="AT163" i="1"/>
  <c r="W163" i="1"/>
  <c r="W162" i="1"/>
  <c r="AS161" i="1"/>
  <c r="AT161" i="1"/>
  <c r="W161" i="1"/>
  <c r="AS160" i="1"/>
  <c r="AT160" i="1"/>
  <c r="W160" i="1"/>
  <c r="AS159" i="1"/>
  <c r="AT159" i="1"/>
  <c r="W159" i="1"/>
  <c r="AT158" i="1"/>
  <c r="AS158" i="1"/>
  <c r="W158" i="1"/>
  <c r="W157" i="1"/>
  <c r="AD157" i="1"/>
  <c r="AF157" i="1"/>
  <c r="AG157" i="1"/>
  <c r="AH157" i="1" s="1"/>
  <c r="AS156" i="1"/>
  <c r="AT156" i="1"/>
  <c r="W156" i="1"/>
  <c r="AD156" i="1"/>
  <c r="AF156" i="1"/>
  <c r="AG156" i="1"/>
  <c r="AH156" i="1" s="1"/>
  <c r="AS155" i="1"/>
  <c r="AT155" i="1"/>
  <c r="W155" i="1"/>
  <c r="AD155" i="1"/>
  <c r="AF155" i="1"/>
  <c r="AG155" i="1"/>
  <c r="AH155" i="1" s="1"/>
  <c r="AS154" i="1"/>
  <c r="AT154" i="1"/>
  <c r="W154" i="1"/>
  <c r="AD154" i="1"/>
  <c r="AF154" i="1"/>
  <c r="AG154" i="1"/>
  <c r="AH154" i="1" s="1"/>
  <c r="AS153" i="1"/>
  <c r="AT153" i="1"/>
  <c r="W153" i="1"/>
  <c r="AD153" i="1"/>
  <c r="AF153" i="1"/>
  <c r="AG153" i="1"/>
  <c r="AH153" i="1" s="1"/>
  <c r="AS152" i="1"/>
  <c r="AT152" i="1"/>
  <c r="W152" i="1"/>
  <c r="AD152" i="1"/>
  <c r="AF152" i="1"/>
  <c r="AG152" i="1"/>
  <c r="AH152" i="1" s="1"/>
  <c r="AS151" i="1"/>
  <c r="AT151" i="1"/>
  <c r="W151" i="1"/>
  <c r="AD151" i="1"/>
  <c r="AF151" i="1"/>
  <c r="AG151" i="1"/>
  <c r="AH151" i="1" s="1"/>
  <c r="AS150" i="1"/>
  <c r="AT150" i="1"/>
  <c r="W150" i="1"/>
  <c r="AD150" i="1"/>
  <c r="AF150" i="1"/>
  <c r="AG150" i="1"/>
  <c r="AH150" i="1" s="1"/>
  <c r="AS149" i="1"/>
  <c r="AT149" i="1"/>
  <c r="W149" i="1"/>
  <c r="AD149" i="1"/>
  <c r="AF149" i="1"/>
  <c r="AG149" i="1"/>
  <c r="AH149" i="1" s="1"/>
  <c r="AS148" i="1"/>
  <c r="AT148" i="1"/>
  <c r="W148" i="1"/>
  <c r="AD148" i="1"/>
  <c r="AF148" i="1"/>
  <c r="AG148" i="1"/>
  <c r="AH148" i="1" s="1"/>
  <c r="AS147" i="1"/>
  <c r="AT147" i="1"/>
  <c r="W147" i="1"/>
  <c r="AS146" i="1"/>
  <c r="AT146" i="1"/>
  <c r="W146" i="1"/>
  <c r="AS145" i="1"/>
  <c r="AT145" i="1"/>
  <c r="W145" i="1"/>
  <c r="W144" i="1"/>
  <c r="AS143" i="1"/>
  <c r="AT143" i="1"/>
  <c r="W143" i="1"/>
  <c r="AS142" i="1"/>
  <c r="AT142" i="1"/>
  <c r="W142" i="1"/>
  <c r="W141" i="1"/>
  <c r="AS140" i="1"/>
  <c r="AT140" i="1"/>
  <c r="W140" i="1"/>
  <c r="AS139" i="1"/>
  <c r="AT139" i="1"/>
  <c r="W139" i="1"/>
  <c r="AS138" i="1"/>
  <c r="AT138" i="1"/>
  <c r="W138" i="1"/>
  <c r="AS137" i="1"/>
  <c r="AT137" i="1"/>
  <c r="W137" i="1"/>
  <c r="W136" i="1"/>
  <c r="AS135" i="1"/>
  <c r="AT135" i="1"/>
  <c r="W135" i="1"/>
  <c r="AS134" i="1"/>
  <c r="AT134" i="1"/>
  <c r="W134" i="1"/>
  <c r="W133" i="1"/>
  <c r="AS132" i="1"/>
  <c r="AT132" i="1"/>
  <c r="W132" i="1"/>
  <c r="AS131" i="1"/>
  <c r="AT131" i="1"/>
  <c r="W131" i="1"/>
  <c r="AS130" i="1"/>
  <c r="AT130" i="1"/>
  <c r="W130" i="1"/>
  <c r="AS129" i="1"/>
  <c r="AT129" i="1"/>
  <c r="W129" i="1"/>
  <c r="AS128" i="1"/>
  <c r="AT128" i="1"/>
  <c r="W128" i="1"/>
  <c r="W127" i="1"/>
  <c r="AS126" i="1"/>
  <c r="AT126" i="1"/>
  <c r="W126" i="1"/>
  <c r="AS125" i="1"/>
  <c r="AT125" i="1"/>
  <c r="W125" i="1"/>
  <c r="AS124" i="1"/>
  <c r="AT124" i="1"/>
  <c r="W124" i="1"/>
  <c r="AS123" i="1"/>
  <c r="AT123" i="1"/>
  <c r="W123" i="1"/>
  <c r="AS122" i="1"/>
  <c r="AT122" i="1"/>
  <c r="W122" i="1"/>
  <c r="AS121" i="1"/>
  <c r="AT121" i="1"/>
  <c r="W121" i="1"/>
  <c r="AS120" i="1"/>
  <c r="AT120" i="1"/>
  <c r="W120" i="1"/>
  <c r="AS119" i="1"/>
  <c r="AT119" i="1"/>
  <c r="W119" i="1"/>
  <c r="W118" i="1"/>
  <c r="AS117" i="1"/>
  <c r="AT117" i="1"/>
  <c r="W117" i="1"/>
  <c r="AS116" i="1"/>
  <c r="AT116" i="1"/>
  <c r="W116" i="1"/>
  <c r="AS115" i="1"/>
  <c r="AT115" i="1"/>
  <c r="W115" i="1"/>
  <c r="AS114" i="1"/>
  <c r="AT114" i="1"/>
  <c r="W114" i="1"/>
  <c r="AS113" i="1"/>
  <c r="AT113" i="1"/>
  <c r="W113" i="1"/>
  <c r="AD113" i="1"/>
  <c r="AF113" i="1"/>
  <c r="AG113" i="1"/>
  <c r="AH113" i="1" s="1"/>
  <c r="AS112" i="1"/>
  <c r="AT112" i="1"/>
  <c r="W112" i="1"/>
  <c r="AD112" i="1"/>
  <c r="AF112" i="1"/>
  <c r="AG112" i="1"/>
  <c r="AH112" i="1" s="1"/>
  <c r="AS111" i="1"/>
  <c r="AT111" i="1"/>
  <c r="W111" i="1"/>
  <c r="AD111" i="1"/>
  <c r="AS110" i="1"/>
  <c r="AT110" i="1"/>
  <c r="W110" i="1"/>
  <c r="AD110" i="1"/>
  <c r="AS109" i="1"/>
  <c r="AT109" i="1"/>
  <c r="W109" i="1"/>
  <c r="AD109" i="1"/>
  <c r="AF109" i="1"/>
  <c r="AG109" i="1"/>
  <c r="AH109" i="1" s="1"/>
  <c r="AS108" i="1"/>
  <c r="AT108" i="1"/>
  <c r="W108" i="1"/>
  <c r="AD108" i="1"/>
  <c r="AF108" i="1"/>
  <c r="AG108" i="1"/>
  <c r="AH108" i="1" s="1"/>
  <c r="AS107" i="1"/>
  <c r="AT107" i="1"/>
  <c r="W107" i="1"/>
  <c r="AD107" i="1"/>
  <c r="AF107" i="1"/>
  <c r="AG107" i="1"/>
  <c r="AH107" i="1" s="1"/>
  <c r="AS106" i="1"/>
  <c r="AT106" i="1"/>
  <c r="W106" i="1"/>
  <c r="AD106" i="1"/>
  <c r="AF106" i="1"/>
  <c r="AG106" i="1"/>
  <c r="AH106" i="1" s="1"/>
  <c r="AS105" i="1"/>
  <c r="AT105" i="1"/>
  <c r="W105" i="1"/>
  <c r="AD105" i="1"/>
  <c r="AF105" i="1"/>
  <c r="AG105" i="1"/>
  <c r="AH105" i="1" s="1"/>
  <c r="AS104" i="1"/>
  <c r="AT104" i="1"/>
  <c r="W104" i="1"/>
  <c r="AD104" i="1"/>
  <c r="AF104" i="1"/>
  <c r="AG104" i="1"/>
  <c r="AH104" i="1" s="1"/>
  <c r="AS103" i="1"/>
  <c r="AT103" i="1"/>
  <c r="W103" i="1"/>
  <c r="AD103" i="1"/>
  <c r="AF103" i="1"/>
  <c r="AG103" i="1"/>
  <c r="AH103" i="1" s="1"/>
  <c r="AS102" i="1"/>
  <c r="AT102" i="1"/>
  <c r="W102" i="1"/>
  <c r="AD102" i="1"/>
  <c r="AF102" i="1"/>
  <c r="AG102" i="1"/>
  <c r="AH102" i="1" s="1"/>
  <c r="AS101" i="1"/>
  <c r="AT101" i="1"/>
  <c r="W101" i="1"/>
  <c r="AD101" i="1"/>
  <c r="AF101" i="1"/>
  <c r="AG101" i="1"/>
  <c r="AH101" i="1" s="1"/>
  <c r="AS100" i="1"/>
  <c r="AT100" i="1"/>
  <c r="W100" i="1"/>
  <c r="AD100" i="1"/>
  <c r="AS99" i="1"/>
  <c r="AT99" i="1"/>
  <c r="W99" i="1"/>
  <c r="AD99" i="1"/>
  <c r="AS98" i="1"/>
  <c r="AT98" i="1"/>
  <c r="W98" i="1"/>
  <c r="AD98" i="1"/>
  <c r="AS97" i="1"/>
  <c r="AT97" i="1"/>
  <c r="W97" i="1"/>
  <c r="AD97" i="1"/>
  <c r="AS96" i="1"/>
  <c r="AT96" i="1"/>
  <c r="W96" i="1"/>
  <c r="AD96" i="1"/>
  <c r="AS95" i="1"/>
  <c r="AT95" i="1"/>
  <c r="W95" i="1"/>
  <c r="AD95" i="1"/>
  <c r="AS94" i="1"/>
  <c r="AT94" i="1"/>
  <c r="W94" i="1"/>
  <c r="AD94" i="1"/>
  <c r="AS93" i="1"/>
  <c r="AT93" i="1"/>
  <c r="W93" i="1"/>
  <c r="AD93" i="1"/>
  <c r="AS92" i="1"/>
  <c r="AT92" i="1"/>
  <c r="W92" i="1"/>
  <c r="AD92" i="1"/>
  <c r="AS91" i="1"/>
  <c r="AT91" i="1"/>
  <c r="W91" i="1"/>
  <c r="AD91" i="1"/>
  <c r="AS90" i="1"/>
  <c r="AT90" i="1"/>
  <c r="W90" i="1"/>
  <c r="AD90" i="1"/>
  <c r="AS89" i="1"/>
  <c r="AT89" i="1"/>
  <c r="W89" i="1"/>
  <c r="AD89" i="1"/>
  <c r="AS88" i="1"/>
  <c r="AT88" i="1"/>
  <c r="W88" i="1"/>
  <c r="AD88" i="1"/>
  <c r="AF88" i="1" s="1"/>
  <c r="AG88" i="1" s="1"/>
  <c r="AH88" i="1" s="1"/>
  <c r="AS87" i="1"/>
  <c r="AT87" i="1"/>
  <c r="W87" i="1"/>
  <c r="AD87" i="1"/>
  <c r="AS86" i="1"/>
  <c r="AT86" i="1"/>
  <c r="W86" i="1"/>
  <c r="AD86" i="1" s="1"/>
  <c r="AS85" i="1"/>
  <c r="AT85" i="1"/>
  <c r="W85" i="1"/>
  <c r="AD85" i="1"/>
  <c r="AS84" i="1"/>
  <c r="AT84" i="1"/>
  <c r="W84" i="1"/>
  <c r="AD84" i="1"/>
  <c r="AS83" i="1"/>
  <c r="AT83" i="1"/>
  <c r="W83" i="1"/>
  <c r="AD83" i="1"/>
  <c r="AS82" i="1"/>
  <c r="AT82" i="1"/>
  <c r="W82" i="1"/>
  <c r="AD82" i="1"/>
  <c r="AS81" i="1"/>
  <c r="AT81" i="1"/>
  <c r="W81" i="1"/>
  <c r="AD81" i="1"/>
  <c r="AS80" i="1"/>
  <c r="AT80" i="1"/>
  <c r="W80" i="1"/>
  <c r="AD80" i="1"/>
  <c r="AS79" i="1"/>
  <c r="AT79" i="1"/>
  <c r="W79" i="1"/>
  <c r="AD79" i="1"/>
  <c r="AS78" i="1"/>
  <c r="AT78" i="1"/>
  <c r="W78" i="1"/>
  <c r="AD78" i="1"/>
  <c r="AS77" i="1"/>
  <c r="AT77" i="1"/>
  <c r="W77" i="1"/>
  <c r="AD77" i="1"/>
  <c r="AS76" i="1"/>
  <c r="AT76" i="1"/>
  <c r="W76" i="1"/>
  <c r="AD76" i="1"/>
  <c r="AS75" i="1"/>
  <c r="AT75" i="1"/>
  <c r="W75" i="1"/>
  <c r="AD75" i="1"/>
  <c r="AS74" i="1"/>
  <c r="AT74" i="1"/>
  <c r="W74" i="1"/>
  <c r="AD74" i="1"/>
  <c r="AS73" i="1"/>
  <c r="AT73" i="1"/>
  <c r="W73" i="1"/>
  <c r="AD73" i="1"/>
  <c r="AS72" i="1"/>
  <c r="AT72" i="1"/>
  <c r="W72" i="1"/>
  <c r="AD72" i="1"/>
  <c r="AS71" i="1"/>
  <c r="AT71" i="1"/>
  <c r="W71" i="1"/>
  <c r="AD71" i="1"/>
  <c r="AS70" i="1"/>
  <c r="AT70" i="1"/>
  <c r="W70" i="1"/>
  <c r="AD70" i="1" s="1"/>
  <c r="AS69" i="1"/>
  <c r="AT69" i="1"/>
  <c r="W69" i="1"/>
  <c r="AD69" i="1"/>
  <c r="AS68" i="1"/>
  <c r="AT68" i="1"/>
  <c r="W68" i="1"/>
  <c r="AD68" i="1"/>
  <c r="AS67" i="1"/>
  <c r="AT67" i="1"/>
  <c r="W67" i="1"/>
  <c r="AD67" i="1"/>
  <c r="AS66" i="1"/>
  <c r="AT66" i="1"/>
  <c r="W66" i="1"/>
  <c r="AD66" i="1"/>
  <c r="AS65" i="1"/>
  <c r="AT65" i="1"/>
  <c r="W65" i="1"/>
  <c r="AD65" i="1"/>
  <c r="AS64" i="1"/>
  <c r="AT64" i="1"/>
  <c r="W64" i="1"/>
  <c r="AD64" i="1"/>
  <c r="AS63" i="1"/>
  <c r="AT63" i="1"/>
  <c r="W63" i="1"/>
  <c r="AD63" i="1"/>
  <c r="AS62" i="1"/>
  <c r="AT62" i="1"/>
  <c r="W62" i="1"/>
  <c r="AD62" i="1"/>
  <c r="AS61" i="1"/>
  <c r="AT61" i="1"/>
  <c r="W61" i="1"/>
  <c r="AD61" i="1"/>
  <c r="AS60" i="1"/>
  <c r="AT60" i="1"/>
  <c r="W60" i="1"/>
  <c r="AD60" i="1" s="1"/>
  <c r="AS59" i="1"/>
  <c r="AT59" i="1"/>
  <c r="W59" i="1"/>
  <c r="AD59" i="1"/>
  <c r="AS58" i="1"/>
  <c r="AT58" i="1"/>
  <c r="W58" i="1"/>
  <c r="AD58" i="1"/>
  <c r="AT57" i="1"/>
  <c r="AS57" i="1"/>
  <c r="W57" i="1"/>
  <c r="AD57" i="1"/>
  <c r="AS56" i="1"/>
  <c r="AT56" i="1"/>
  <c r="W56" i="1"/>
  <c r="AD56" i="1"/>
  <c r="AT55" i="1"/>
  <c r="AS55" i="1"/>
  <c r="W55" i="1"/>
  <c r="AD55" i="1" s="1"/>
  <c r="AS54" i="1"/>
  <c r="AT54" i="1"/>
  <c r="W54" i="1"/>
  <c r="AD54" i="1" s="1"/>
  <c r="AS53" i="1"/>
  <c r="AT53" i="1"/>
  <c r="W53" i="1"/>
  <c r="AD53" i="1"/>
  <c r="AS52" i="1"/>
  <c r="AT52" i="1"/>
  <c r="W52" i="1"/>
  <c r="AD52" i="1"/>
  <c r="AS51" i="1"/>
  <c r="AT51" i="1"/>
  <c r="W51" i="1"/>
  <c r="AD51" i="1"/>
  <c r="AS50" i="1"/>
  <c r="AT50" i="1"/>
  <c r="W50" i="1"/>
  <c r="AD50" i="1"/>
  <c r="AS49" i="1"/>
  <c r="AT49" i="1"/>
  <c r="W49" i="1"/>
  <c r="AD49" i="1"/>
  <c r="AT48" i="1"/>
  <c r="AS48" i="1"/>
  <c r="W48" i="1"/>
  <c r="AD48" i="1" s="1"/>
  <c r="AT47" i="1"/>
  <c r="AS47" i="1"/>
  <c r="W47" i="1"/>
  <c r="AD47" i="1"/>
  <c r="AS46" i="1"/>
  <c r="AT46" i="1"/>
  <c r="W46" i="1"/>
  <c r="AD46" i="1" s="1"/>
  <c r="AS45" i="1"/>
  <c r="AT45" i="1"/>
  <c r="W45" i="1"/>
  <c r="AD45" i="1" s="1"/>
  <c r="AS44" i="1"/>
  <c r="AT44" i="1"/>
  <c r="W44" i="1"/>
  <c r="AD44" i="1"/>
  <c r="AS43" i="1"/>
  <c r="AT43" i="1"/>
  <c r="W43" i="1"/>
  <c r="AD43" i="1"/>
  <c r="AS42" i="1"/>
  <c r="AT42" i="1"/>
  <c r="W42" i="1"/>
  <c r="AD42" i="1"/>
  <c r="AS41" i="1"/>
  <c r="AT41" i="1"/>
  <c r="W41" i="1"/>
  <c r="AD41" i="1"/>
  <c r="AS40" i="1"/>
  <c r="AT40" i="1"/>
  <c r="W40" i="1"/>
  <c r="AD40" i="1"/>
  <c r="AS39" i="1"/>
  <c r="AT39" i="1"/>
  <c r="W39" i="1"/>
  <c r="AD39" i="1"/>
  <c r="AS38" i="1"/>
  <c r="AT38" i="1"/>
  <c r="W38" i="1"/>
  <c r="AD38" i="1"/>
  <c r="AS37" i="1"/>
  <c r="AT37" i="1"/>
  <c r="W37" i="1"/>
  <c r="AD37" i="1"/>
  <c r="AS36" i="1"/>
  <c r="AT36" i="1"/>
  <c r="W36" i="1"/>
  <c r="AD36" i="1"/>
  <c r="AS35" i="1"/>
  <c r="AT35" i="1"/>
  <c r="W35" i="1"/>
  <c r="AD35" i="1"/>
  <c r="AS34" i="1"/>
  <c r="AT34" i="1"/>
  <c r="W34" i="1"/>
  <c r="AD34" i="1"/>
  <c r="AS33" i="1"/>
  <c r="AT33" i="1"/>
  <c r="W33" i="1"/>
  <c r="AD33" i="1"/>
  <c r="AS32" i="1"/>
  <c r="AT32" i="1"/>
  <c r="W32" i="1"/>
  <c r="AD32" i="1"/>
  <c r="AS31" i="1"/>
  <c r="AT31" i="1"/>
  <c r="W31" i="1"/>
  <c r="AD31" i="1"/>
  <c r="AS30" i="1"/>
  <c r="AT30" i="1"/>
  <c r="W30" i="1"/>
  <c r="AD30" i="1"/>
  <c r="AS29" i="1"/>
  <c r="AT29" i="1"/>
  <c r="W29" i="1"/>
  <c r="AD29" i="1"/>
  <c r="AS28" i="1"/>
  <c r="AT28" i="1"/>
  <c r="W28" i="1"/>
  <c r="AD28" i="1"/>
  <c r="AS27" i="1"/>
  <c r="AT27" i="1"/>
  <c r="W27" i="1"/>
  <c r="AS26" i="1"/>
  <c r="AT26" i="1"/>
  <c r="W26" i="1"/>
  <c r="AD26" i="1"/>
  <c r="AS25" i="1"/>
  <c r="AT25" i="1"/>
  <c r="W25" i="1"/>
  <c r="AD25" i="1"/>
  <c r="AS24" i="1"/>
  <c r="AT24" i="1"/>
  <c r="W24" i="1"/>
  <c r="AD24" i="1" s="1"/>
  <c r="AS23" i="1"/>
  <c r="AT23" i="1"/>
  <c r="W23" i="1"/>
  <c r="AD23" i="1"/>
  <c r="AS22" i="1"/>
  <c r="AT22" i="1"/>
  <c r="W22" i="1"/>
  <c r="AS21" i="1"/>
  <c r="AT21" i="1"/>
  <c r="W21" i="1"/>
  <c r="AD21" i="1"/>
  <c r="AS20" i="1"/>
  <c r="AT20" i="1"/>
  <c r="W20" i="1"/>
  <c r="AD20" i="1"/>
  <c r="AS19" i="1"/>
  <c r="AT19" i="1"/>
  <c r="W19" i="1"/>
  <c r="AD19" i="1"/>
  <c r="AS18" i="1"/>
  <c r="AT18" i="1"/>
  <c r="W18" i="1"/>
  <c r="AD18" i="1"/>
  <c r="AS17" i="1"/>
  <c r="AT17" i="1"/>
  <c r="W17" i="1"/>
  <c r="AD17" i="1"/>
  <c r="AS16" i="1"/>
  <c r="AT16" i="1"/>
  <c r="W16" i="1"/>
  <c r="AD16" i="1"/>
  <c r="AS15" i="1"/>
  <c r="AT15" i="1"/>
  <c r="W15" i="1"/>
  <c r="AD15" i="1" s="1"/>
  <c r="AS14" i="1"/>
  <c r="AT14" i="1"/>
  <c r="W14" i="1"/>
  <c r="AS13" i="1"/>
  <c r="AT13" i="1"/>
  <c r="W13" i="1"/>
  <c r="AS12" i="1"/>
  <c r="AT12" i="1"/>
  <c r="W12" i="1"/>
  <c r="AD12" i="1"/>
  <c r="AS11" i="1"/>
  <c r="AT11" i="1"/>
  <c r="W11" i="1"/>
  <c r="AD11" i="1"/>
  <c r="K729" i="1"/>
  <c r="L11" i="1"/>
  <c r="AS10" i="1"/>
  <c r="AT10" i="1"/>
  <c r="W10" i="1"/>
  <c r="AD10" i="1"/>
  <c r="AS9" i="1"/>
  <c r="AT9" i="1"/>
  <c r="W9" i="1"/>
  <c r="AD9" i="1"/>
  <c r="AF9" i="1"/>
  <c r="AG9" i="1"/>
  <c r="AH9" i="1" s="1"/>
  <c r="AS8" i="1"/>
  <c r="AT8" i="1"/>
  <c r="W8" i="1"/>
  <c r="AD8" i="1"/>
  <c r="AF8" i="1"/>
  <c r="AG8" i="1"/>
  <c r="AH8" i="1" s="1"/>
  <c r="AS7" i="1"/>
  <c r="AT7" i="1"/>
  <c r="W7" i="1"/>
  <c r="AD7" i="1"/>
  <c r="AF7" i="1"/>
  <c r="AG7" i="1"/>
  <c r="AH7" i="1" s="1"/>
  <c r="AS6" i="1"/>
  <c r="AT6" i="1"/>
  <c r="W6" i="1"/>
  <c r="AD6" i="1"/>
  <c r="AF6" i="1"/>
  <c r="AG6" i="1"/>
  <c r="AH6" i="1" s="1"/>
  <c r="AS5" i="1"/>
  <c r="AT5" i="1"/>
  <c r="W5" i="1"/>
  <c r="AD5" i="1"/>
  <c r="AF5" i="1"/>
  <c r="AG5" i="1"/>
  <c r="AH5" i="1" s="1"/>
  <c r="AS4" i="1"/>
  <c r="AT4" i="1"/>
  <c r="W4" i="1"/>
  <c r="AD4" i="1"/>
  <c r="AF4" i="1"/>
  <c r="AG4" i="1"/>
  <c r="AH4" i="1" s="1"/>
  <c r="AS3" i="1"/>
  <c r="AN729" i="1"/>
  <c r="W3" i="1"/>
  <c r="AD3" i="1"/>
  <c r="AF3" i="1"/>
  <c r="AG3" i="1"/>
  <c r="AH3" i="1" s="1"/>
  <c r="AR729" i="1"/>
  <c r="AF691" i="1" l="1"/>
  <c r="AG691" i="1" s="1"/>
  <c r="AH691" i="1" s="1"/>
  <c r="AG685" i="1"/>
  <c r="AH685" i="1" s="1"/>
  <c r="AF699" i="1"/>
  <c r="AG699" i="1" s="1"/>
  <c r="AH699" i="1" s="1"/>
  <c r="AG633" i="1"/>
  <c r="AH633" i="1" s="1"/>
  <c r="AG602" i="1"/>
  <c r="AH602" i="1" s="1"/>
  <c r="AF555" i="1"/>
  <c r="AG642" i="1"/>
  <c r="AH642" i="1" s="1"/>
  <c r="AG638" i="1"/>
  <c r="AH638" i="1" s="1"/>
  <c r="AG637" i="1"/>
  <c r="AH637" i="1" s="1"/>
  <c r="AG589" i="1"/>
  <c r="AH589" i="1" s="1"/>
  <c r="AF457" i="1"/>
  <c r="AF443" i="1"/>
  <c r="AG443" i="1" s="1"/>
  <c r="AH443" i="1" s="1"/>
  <c r="AF347" i="1"/>
  <c r="AG347" i="1" s="1"/>
  <c r="AH347" i="1" s="1"/>
  <c r="AG495" i="1"/>
  <c r="AH495" i="1" s="1"/>
  <c r="AD542" i="1"/>
  <c r="AF542" i="1" s="1"/>
  <c r="AG542" i="1" s="1"/>
  <c r="AH542" i="1" s="1"/>
  <c r="AT490" i="1"/>
  <c r="AS490" i="1"/>
  <c r="AD490" i="1"/>
  <c r="AF490" i="1" s="1"/>
  <c r="AG490" i="1" s="1"/>
  <c r="AH490" i="1" s="1"/>
  <c r="W489" i="1"/>
  <c r="AD489" i="1"/>
  <c r="AS485" i="1"/>
  <c r="AT485" i="1"/>
  <c r="AD488" i="1"/>
  <c r="AD487" i="1"/>
  <c r="AF487" i="1"/>
  <c r="AG487" i="1"/>
  <c r="AH487" i="1" s="1"/>
  <c r="AD486" i="1"/>
  <c r="AF486" i="1"/>
  <c r="AG486" i="1"/>
  <c r="AH486" i="1" s="1"/>
  <c r="AD431" i="1"/>
  <c r="AF431" i="1"/>
  <c r="AG431" i="1"/>
  <c r="AH431" i="1" s="1"/>
  <c r="AD430" i="1"/>
  <c r="AG430" i="1" s="1"/>
  <c r="AH430" i="1" s="1"/>
  <c r="AF430" i="1"/>
  <c r="AD429" i="1"/>
  <c r="AD428" i="1"/>
  <c r="AD427" i="1"/>
  <c r="AD426" i="1"/>
  <c r="AF426" i="1"/>
  <c r="AG426" i="1" s="1"/>
  <c r="AH426" i="1" s="1"/>
  <c r="AD425" i="1"/>
  <c r="AD424" i="1"/>
  <c r="AS423" i="1"/>
  <c r="AT423" i="1"/>
  <c r="AD423" i="1"/>
  <c r="AD422" i="1"/>
  <c r="AF422" i="1"/>
  <c r="AG422" i="1"/>
  <c r="AH422" i="1" s="1"/>
  <c r="AD421" i="1"/>
  <c r="AS420" i="1"/>
  <c r="AT420" i="1"/>
  <c r="AD420" i="1"/>
  <c r="AF420" i="1"/>
  <c r="AG420" i="1" s="1"/>
  <c r="AH420" i="1" s="1"/>
  <c r="AD419" i="1"/>
  <c r="AF419" i="1"/>
  <c r="AG419" i="1" s="1"/>
  <c r="AH419" i="1" s="1"/>
  <c r="AD418" i="1"/>
  <c r="AD417" i="1"/>
  <c r="AF417" i="1"/>
  <c r="AG417" i="1"/>
  <c r="AH417" i="1" s="1"/>
  <c r="AD416" i="1"/>
  <c r="AF416" i="1"/>
  <c r="AG416" i="1" s="1"/>
  <c r="AH416" i="1" s="1"/>
  <c r="AD415" i="1"/>
  <c r="AS414" i="1"/>
  <c r="AT414" i="1"/>
  <c r="AD414" i="1"/>
  <c r="AD413" i="1"/>
  <c r="AF413" i="1"/>
  <c r="AG413" i="1"/>
  <c r="AH413" i="1" s="1"/>
  <c r="AD412" i="1"/>
  <c r="AG412" i="1" s="1"/>
  <c r="AH412" i="1" s="1"/>
  <c r="AF412" i="1"/>
  <c r="AD411" i="1"/>
  <c r="AD410" i="1"/>
  <c r="AF410" i="1"/>
  <c r="AG410" i="1" s="1"/>
  <c r="AH410" i="1" s="1"/>
  <c r="AD409" i="1"/>
  <c r="AD408" i="1"/>
  <c r="AT407" i="1"/>
  <c r="AS407" i="1"/>
  <c r="AD407" i="1"/>
  <c r="AD406" i="1"/>
  <c r="AD405" i="1"/>
  <c r="AS354" i="1"/>
  <c r="AT354" i="1"/>
  <c r="AD354" i="1"/>
  <c r="AF354" i="1" s="1"/>
  <c r="AG354" i="1" s="1"/>
  <c r="AH354" i="1" s="1"/>
  <c r="AD308" i="1"/>
  <c r="AT307" i="1"/>
  <c r="AS307" i="1"/>
  <c r="AD307" i="1"/>
  <c r="AD254" i="1"/>
  <c r="AG254" i="1" s="1"/>
  <c r="AH254" i="1" s="1"/>
  <c r="AF254" i="1"/>
  <c r="AD253" i="1"/>
  <c r="AF253" i="1"/>
  <c r="AG253" i="1" s="1"/>
  <c r="AH253" i="1" s="1"/>
  <c r="AS252" i="1"/>
  <c r="AT252" i="1"/>
  <c r="AD252" i="1"/>
  <c r="AD251" i="1"/>
  <c r="AT249" i="1"/>
  <c r="AS249" i="1"/>
  <c r="AD249" i="1"/>
  <c r="AD248" i="1"/>
  <c r="AD247" i="1"/>
  <c r="AD246" i="1"/>
  <c r="AD245" i="1"/>
  <c r="AF245" i="1"/>
  <c r="AG245" i="1" s="1"/>
  <c r="AH245" i="1" s="1"/>
  <c r="AD244" i="1"/>
  <c r="AD243" i="1"/>
  <c r="AF243" i="1"/>
  <c r="AG243" i="1" s="1"/>
  <c r="AH243" i="1" s="1"/>
  <c r="AD242" i="1"/>
  <c r="AF241" i="1"/>
  <c r="AG241" i="1" s="1"/>
  <c r="AH241" i="1" s="1"/>
  <c r="AD241" i="1"/>
  <c r="W240" i="1"/>
  <c r="AG240" i="1" s="1"/>
  <c r="AH240" i="1" s="1"/>
  <c r="AD240" i="1"/>
  <c r="AF240" i="1"/>
  <c r="AD239" i="1"/>
  <c r="AF239" i="1"/>
  <c r="AG239" i="1"/>
  <c r="AH239" i="1" s="1"/>
  <c r="AD238" i="1"/>
  <c r="AG238" i="1" s="1"/>
  <c r="AH238" i="1" s="1"/>
  <c r="AF238" i="1"/>
  <c r="AD237" i="1"/>
  <c r="AT236" i="1"/>
  <c r="AS236" i="1"/>
  <c r="AD236" i="1"/>
  <c r="AD235" i="1"/>
  <c r="AD234" i="1"/>
  <c r="AF234" i="1"/>
  <c r="AG234" i="1" s="1"/>
  <c r="AH234" i="1" s="1"/>
  <c r="AD233" i="1"/>
  <c r="AF233" i="1" s="1"/>
  <c r="AG233" i="1" s="1"/>
  <c r="AH233" i="1" s="1"/>
  <c r="AD232" i="1"/>
  <c r="AF232" i="1"/>
  <c r="AG232" i="1" s="1"/>
  <c r="AH232" i="1" s="1"/>
  <c r="AD231" i="1"/>
  <c r="AF231" i="1"/>
  <c r="AG231" i="1"/>
  <c r="AH231" i="1" s="1"/>
  <c r="AD230" i="1"/>
  <c r="AD229" i="1"/>
  <c r="AF229" i="1"/>
  <c r="AG229" i="1"/>
  <c r="AH229" i="1" s="1"/>
  <c r="AD228" i="1"/>
  <c r="AF228" i="1"/>
  <c r="AG228" i="1"/>
  <c r="AH228" i="1" s="1"/>
  <c r="AD200" i="1"/>
  <c r="AD199" i="1"/>
  <c r="AF199" i="1"/>
  <c r="AG199" i="1"/>
  <c r="AH199" i="1" s="1"/>
  <c r="AT198" i="1"/>
  <c r="AS198" i="1"/>
  <c r="AD198" i="1"/>
  <c r="AG198" i="1" s="1"/>
  <c r="AH198" i="1" s="1"/>
  <c r="AF198" i="1"/>
  <c r="AD197" i="1"/>
  <c r="AF197" i="1"/>
  <c r="AG197" i="1" s="1"/>
  <c r="AH197" i="1" s="1"/>
  <c r="AD196" i="1"/>
  <c r="AD195" i="1"/>
  <c r="AF195" i="1"/>
  <c r="AG195" i="1"/>
  <c r="AH195" i="1" s="1"/>
  <c r="AD194" i="1"/>
  <c r="AS193" i="1"/>
  <c r="AT193" i="1"/>
  <c r="AD193" i="1"/>
  <c r="AF193" i="1"/>
  <c r="AG193" i="1"/>
  <c r="AH193" i="1" s="1"/>
  <c r="AD191" i="1"/>
  <c r="AF191" i="1"/>
  <c r="AG191" i="1"/>
  <c r="AH191" i="1" s="1"/>
  <c r="AD190" i="1"/>
  <c r="AG190" i="1" s="1"/>
  <c r="AH190" i="1" s="1"/>
  <c r="AF190" i="1"/>
  <c r="AT189" i="1"/>
  <c r="AS189" i="1"/>
  <c r="AD189" i="1"/>
  <c r="AF189" i="1"/>
  <c r="AG189" i="1"/>
  <c r="AH189" i="1" s="1"/>
  <c r="AD188" i="1"/>
  <c r="AF188" i="1"/>
  <c r="AG188" i="1"/>
  <c r="AH188" i="1" s="1"/>
  <c r="AD187" i="1"/>
  <c r="AF187" i="1"/>
  <c r="AG187" i="1"/>
  <c r="AH187" i="1" s="1"/>
  <c r="AD186" i="1"/>
  <c r="AF186" i="1"/>
  <c r="AG186" i="1"/>
  <c r="AH186" i="1" s="1"/>
  <c r="AD185" i="1"/>
  <c r="AF185" i="1"/>
  <c r="AG185" i="1"/>
  <c r="AH185" i="1" s="1"/>
  <c r="AS184" i="1"/>
  <c r="AT184" i="1"/>
  <c r="AD184" i="1"/>
  <c r="AF184" i="1"/>
  <c r="AG184" i="1"/>
  <c r="AH184" i="1" s="1"/>
  <c r="AD183" i="1"/>
  <c r="AF183" i="1"/>
  <c r="AG183" i="1"/>
  <c r="AH183" i="1" s="1"/>
  <c r="AD182" i="1"/>
  <c r="AF182" i="1"/>
  <c r="AG182" i="1"/>
  <c r="AH182" i="1" s="1"/>
  <c r="AD181" i="1"/>
  <c r="AF181" i="1"/>
  <c r="AG181" i="1" s="1"/>
  <c r="AH181" i="1" s="1"/>
  <c r="AD180" i="1"/>
  <c r="AS179" i="1"/>
  <c r="AT179" i="1"/>
  <c r="AD179" i="1"/>
  <c r="AF179" i="1"/>
  <c r="AG179" i="1"/>
  <c r="AH179" i="1" s="1"/>
  <c r="AD177" i="1"/>
  <c r="AF177" i="1"/>
  <c r="AG177" i="1"/>
  <c r="AH177" i="1" s="1"/>
  <c r="AD175" i="1"/>
  <c r="AT174" i="1"/>
  <c r="AS174" i="1"/>
  <c r="AD174" i="1"/>
  <c r="AF174" i="1" s="1"/>
  <c r="AG174" i="1" s="1"/>
  <c r="AH174" i="1" s="1"/>
  <c r="AD173" i="1"/>
  <c r="AF173" i="1"/>
  <c r="AD171" i="1"/>
  <c r="AG171" i="1" s="1"/>
  <c r="AH171" i="1" s="1"/>
  <c r="AF171" i="1"/>
  <c r="AD169" i="1"/>
  <c r="AF169" i="1" s="1"/>
  <c r="AG169" i="1" s="1"/>
  <c r="AH169" i="1" s="1"/>
  <c r="AS168" i="1"/>
  <c r="AT168" i="1"/>
  <c r="AD168" i="1"/>
  <c r="AF168" i="1" s="1"/>
  <c r="AG168" i="1" s="1"/>
  <c r="AH168" i="1" s="1"/>
  <c r="AD167" i="1"/>
  <c r="AG167" i="1" s="1"/>
  <c r="AH167" i="1" s="1"/>
  <c r="AF167" i="1"/>
  <c r="AD166" i="1"/>
  <c r="AG166" i="1" s="1"/>
  <c r="AH166" i="1" s="1"/>
  <c r="AF166" i="1"/>
  <c r="AD165" i="1"/>
  <c r="AF165" i="1"/>
  <c r="AG165" i="1"/>
  <c r="AH165" i="1" s="1"/>
  <c r="AD164" i="1"/>
  <c r="AF164" i="1"/>
  <c r="AG164" i="1"/>
  <c r="AH164" i="1" s="1"/>
  <c r="AD163" i="1"/>
  <c r="AF163" i="1"/>
  <c r="AG163" i="1"/>
  <c r="AH163" i="1" s="1"/>
  <c r="AT162" i="1"/>
  <c r="AS162" i="1"/>
  <c r="AD162" i="1"/>
  <c r="AF162" i="1"/>
  <c r="AG162" i="1" s="1"/>
  <c r="AH162" i="1" s="1"/>
  <c r="AD161" i="1"/>
  <c r="AG161" i="1" s="1"/>
  <c r="AH161" i="1" s="1"/>
  <c r="AF161" i="1"/>
  <c r="AD159" i="1"/>
  <c r="AF159" i="1"/>
  <c r="AG159" i="1"/>
  <c r="AH159" i="1" s="1"/>
  <c r="AT157" i="1"/>
  <c r="AS157" i="1"/>
  <c r="AD147" i="1"/>
  <c r="AF147" i="1"/>
  <c r="AG147" i="1"/>
  <c r="AH147" i="1" s="1"/>
  <c r="AD146" i="1"/>
  <c r="AF146" i="1" s="1"/>
  <c r="AG146" i="1" s="1"/>
  <c r="AH146" i="1" s="1"/>
  <c r="AD145" i="1"/>
  <c r="AG145" i="1" s="1"/>
  <c r="AH145" i="1" s="1"/>
  <c r="AF145" i="1"/>
  <c r="AS144" i="1"/>
  <c r="AT144" i="1"/>
  <c r="AD144" i="1"/>
  <c r="AF144" i="1"/>
  <c r="AG144" i="1"/>
  <c r="AH144" i="1" s="1"/>
  <c r="AD143" i="1"/>
  <c r="AF143" i="1"/>
  <c r="AG143" i="1"/>
  <c r="AH143" i="1" s="1"/>
  <c r="AD142" i="1"/>
  <c r="AS141" i="1"/>
  <c r="AT141" i="1"/>
  <c r="AD141" i="1"/>
  <c r="AF141" i="1" s="1"/>
  <c r="AG141" i="1" s="1"/>
  <c r="AH141" i="1" s="1"/>
  <c r="AD140" i="1"/>
  <c r="AF140" i="1"/>
  <c r="AG140" i="1"/>
  <c r="AH140" i="1" s="1"/>
  <c r="AD139" i="1"/>
  <c r="AF139" i="1"/>
  <c r="AG139" i="1"/>
  <c r="AH139" i="1" s="1"/>
  <c r="AD138" i="1"/>
  <c r="AF138" i="1"/>
  <c r="AG138" i="1"/>
  <c r="AH138" i="1" s="1"/>
  <c r="AD137" i="1"/>
  <c r="AF137" i="1"/>
  <c r="AG137" i="1"/>
  <c r="AH137" i="1" s="1"/>
  <c r="AS136" i="1"/>
  <c r="AT136" i="1"/>
  <c r="AD136" i="1"/>
  <c r="AF136" i="1"/>
  <c r="AG136" i="1"/>
  <c r="AH136" i="1" s="1"/>
  <c r="AD135" i="1"/>
  <c r="AF135" i="1" s="1"/>
  <c r="AG135" i="1" s="1"/>
  <c r="AH135" i="1" s="1"/>
  <c r="AD134" i="1"/>
  <c r="AG134" i="1" s="1"/>
  <c r="AH134" i="1" s="1"/>
  <c r="AF134" i="1"/>
  <c r="AS133" i="1"/>
  <c r="AT133" i="1"/>
  <c r="AD133" i="1"/>
  <c r="AF133" i="1"/>
  <c r="AG133" i="1"/>
  <c r="AH133" i="1" s="1"/>
  <c r="AD132" i="1"/>
  <c r="AF132" i="1"/>
  <c r="AG132" i="1"/>
  <c r="AH132" i="1" s="1"/>
  <c r="AD131" i="1"/>
  <c r="AG131" i="1" s="1"/>
  <c r="AH131" i="1" s="1"/>
  <c r="AF131" i="1"/>
  <c r="AD130" i="1"/>
  <c r="AG130" i="1" s="1"/>
  <c r="AH130" i="1" s="1"/>
  <c r="AF130" i="1"/>
  <c r="AD129" i="1"/>
  <c r="AG129" i="1" s="1"/>
  <c r="AH129" i="1" s="1"/>
  <c r="AF129" i="1"/>
  <c r="AD128" i="1"/>
  <c r="AF128" i="1"/>
  <c r="AG128" i="1"/>
  <c r="AH128" i="1" s="1"/>
  <c r="AS127" i="1"/>
  <c r="AT127" i="1"/>
  <c r="AD127" i="1"/>
  <c r="AF127" i="1"/>
  <c r="AG127" i="1"/>
  <c r="AH127" i="1" s="1"/>
  <c r="AD126" i="1"/>
  <c r="AD125" i="1"/>
  <c r="AF125" i="1"/>
  <c r="AG125" i="1"/>
  <c r="AH125" i="1" s="1"/>
  <c r="AD124" i="1"/>
  <c r="AF124" i="1"/>
  <c r="AG124" i="1"/>
  <c r="AH124" i="1" s="1"/>
  <c r="AD123" i="1"/>
  <c r="AD122" i="1"/>
  <c r="AF122" i="1"/>
  <c r="AG122" i="1"/>
  <c r="AH122" i="1" s="1"/>
  <c r="AD121" i="1"/>
  <c r="AD120" i="1"/>
  <c r="AD119" i="1"/>
  <c r="AT118" i="1"/>
  <c r="AS118" i="1"/>
  <c r="AS729" i="1" s="1"/>
  <c r="AD118" i="1"/>
  <c r="AD117" i="1"/>
  <c r="AG117" i="1" s="1"/>
  <c r="AH117" i="1" s="1"/>
  <c r="AF117" i="1"/>
  <c r="AD116" i="1"/>
  <c r="AF116" i="1" s="1"/>
  <c r="AG116" i="1" s="1"/>
  <c r="AH116" i="1" s="1"/>
  <c r="AD115" i="1"/>
  <c r="AF114" i="1"/>
  <c r="AG114" i="1" s="1"/>
  <c r="AH114" i="1" s="1"/>
  <c r="AF728" i="1"/>
  <c r="AG728" i="1"/>
  <c r="AH728" i="1" s="1"/>
  <c r="AF727" i="1"/>
  <c r="AG727" i="1" s="1"/>
  <c r="AH727" i="1" s="1"/>
  <c r="AF716" i="1"/>
  <c r="AG716" i="1" s="1"/>
  <c r="AH716" i="1" s="1"/>
  <c r="AF712" i="1"/>
  <c r="AG712" i="1" s="1"/>
  <c r="AH712" i="1" s="1"/>
  <c r="AF698" i="1"/>
  <c r="AG698" i="1" s="1"/>
  <c r="AH698" i="1" s="1"/>
  <c r="AF693" i="1"/>
  <c r="AG693" i="1"/>
  <c r="AH693" i="1" s="1"/>
  <c r="AF690" i="1"/>
  <c r="AG690" i="1" s="1"/>
  <c r="AH690" i="1" s="1"/>
  <c r="AF686" i="1"/>
  <c r="AG686" i="1" s="1"/>
  <c r="AH686" i="1" s="1"/>
  <c r="AF684" i="1"/>
  <c r="AG684" i="1" s="1"/>
  <c r="AH684" i="1" s="1"/>
  <c r="AF680" i="1"/>
  <c r="AG680" i="1" s="1"/>
  <c r="AH680" i="1" s="1"/>
  <c r="AF679" i="1"/>
  <c r="AG679" i="1" s="1"/>
  <c r="AH679" i="1" s="1"/>
  <c r="AF678" i="1"/>
  <c r="AG678" i="1" s="1"/>
  <c r="AH678" i="1" s="1"/>
  <c r="AF677" i="1"/>
  <c r="AG677" i="1" s="1"/>
  <c r="AH677" i="1" s="1"/>
  <c r="AF676" i="1"/>
  <c r="AG676" i="1" s="1"/>
  <c r="AH676" i="1" s="1"/>
  <c r="AF675" i="1"/>
  <c r="AG675" i="1" s="1"/>
  <c r="AH675" i="1" s="1"/>
  <c r="AF636" i="1"/>
  <c r="AG636" i="1" s="1"/>
  <c r="AH636" i="1" s="1"/>
  <c r="AF634" i="1"/>
  <c r="AG634" i="1" s="1"/>
  <c r="AH634" i="1" s="1"/>
  <c r="AF632" i="1"/>
  <c r="AG632" i="1" s="1"/>
  <c r="AH632" i="1" s="1"/>
  <c r="AF631" i="1"/>
  <c r="AG631" i="1" s="1"/>
  <c r="AH631" i="1" s="1"/>
  <c r="AF630" i="1"/>
  <c r="AG630" i="1" s="1"/>
  <c r="AH630" i="1" s="1"/>
  <c r="AF629" i="1"/>
  <c r="AG629" i="1" s="1"/>
  <c r="AH629" i="1" s="1"/>
  <c r="AF628" i="1"/>
  <c r="AG628" i="1" s="1"/>
  <c r="AH628" i="1" s="1"/>
  <c r="AF627" i="1"/>
  <c r="AG627" i="1" s="1"/>
  <c r="AH627" i="1" s="1"/>
  <c r="AF626" i="1"/>
  <c r="AG626" i="1" s="1"/>
  <c r="AH626" i="1" s="1"/>
  <c r="AF625" i="1"/>
  <c r="AG625" i="1" s="1"/>
  <c r="AH625" i="1" s="1"/>
  <c r="AF624" i="1"/>
  <c r="AG624" i="1" s="1"/>
  <c r="AH624" i="1" s="1"/>
  <c r="AF623" i="1"/>
  <c r="AG623" i="1" s="1"/>
  <c r="AH623" i="1" s="1"/>
  <c r="AF622" i="1"/>
  <c r="AG622" i="1" s="1"/>
  <c r="AH622" i="1" s="1"/>
  <c r="AF621" i="1"/>
  <c r="AG621" i="1" s="1"/>
  <c r="AH621" i="1" s="1"/>
  <c r="AF620" i="1"/>
  <c r="AG620" i="1" s="1"/>
  <c r="AH620" i="1" s="1"/>
  <c r="AF619" i="1"/>
  <c r="AG619" i="1" s="1"/>
  <c r="AH619" i="1" s="1"/>
  <c r="AF618" i="1"/>
  <c r="AG618" i="1" s="1"/>
  <c r="AH618" i="1" s="1"/>
  <c r="AF617" i="1"/>
  <c r="AG617" i="1" s="1"/>
  <c r="AH617" i="1" s="1"/>
  <c r="AF616" i="1"/>
  <c r="AG616" i="1" s="1"/>
  <c r="AH616" i="1" s="1"/>
  <c r="AD615" i="1"/>
  <c r="AF615" i="1" s="1"/>
  <c r="AF614" i="1"/>
  <c r="AG614" i="1" s="1"/>
  <c r="AH614" i="1" s="1"/>
  <c r="AF613" i="1"/>
  <c r="AG613" i="1" s="1"/>
  <c r="AH613" i="1" s="1"/>
  <c r="AF612" i="1"/>
  <c r="AG612" i="1" s="1"/>
  <c r="AH612" i="1" s="1"/>
  <c r="AF611" i="1"/>
  <c r="AG611" i="1" s="1"/>
  <c r="AH611" i="1" s="1"/>
  <c r="AF610" i="1"/>
  <c r="AG610" i="1" s="1"/>
  <c r="AH610" i="1" s="1"/>
  <c r="AF609" i="1"/>
  <c r="AG609" i="1" s="1"/>
  <c r="AH609" i="1" s="1"/>
  <c r="AD607" i="1"/>
  <c r="AF607" i="1" s="1"/>
  <c r="AG607" i="1" s="1"/>
  <c r="AH607" i="1" s="1"/>
  <c r="AF606" i="1"/>
  <c r="AG606" i="1" s="1"/>
  <c r="AH606" i="1" s="1"/>
  <c r="AF605" i="1"/>
  <c r="AG605" i="1" s="1"/>
  <c r="AH605" i="1" s="1"/>
  <c r="AF604" i="1"/>
  <c r="AG604" i="1" s="1"/>
  <c r="AH604" i="1" s="1"/>
  <c r="AD603" i="1"/>
  <c r="AF603" i="1"/>
  <c r="AG603" i="1" s="1"/>
  <c r="AH603" i="1" s="1"/>
  <c r="AF584" i="1"/>
  <c r="AG584" i="1" s="1"/>
  <c r="AH584" i="1" s="1"/>
  <c r="AD583" i="1"/>
  <c r="AF582" i="1"/>
  <c r="AG582" i="1" s="1"/>
  <c r="AH582" i="1" s="1"/>
  <c r="AD581" i="1"/>
  <c r="AF581" i="1"/>
  <c r="AD580" i="1"/>
  <c r="AF580" i="1"/>
  <c r="AF579" i="1"/>
  <c r="AG579" i="1"/>
  <c r="AH579" i="1" s="1"/>
  <c r="AF577" i="1"/>
  <c r="AG577" i="1"/>
  <c r="AH577" i="1" s="1"/>
  <c r="AF576" i="1"/>
  <c r="AG576" i="1" s="1"/>
  <c r="AH576" i="1" s="1"/>
  <c r="AF545" i="1"/>
  <c r="AG545" i="1" s="1"/>
  <c r="AH545" i="1" s="1"/>
  <c r="AF544" i="1"/>
  <c r="AG544" i="1" s="1"/>
  <c r="AH544" i="1" s="1"/>
  <c r="AF510" i="1"/>
  <c r="AG510" i="1"/>
  <c r="AH510" i="1" s="1"/>
  <c r="AF509" i="1"/>
  <c r="AG509" i="1"/>
  <c r="AH509" i="1" s="1"/>
  <c r="AF508" i="1"/>
  <c r="AG508" i="1" s="1"/>
  <c r="AH508" i="1" s="1"/>
  <c r="AF507" i="1"/>
  <c r="AG507" i="1"/>
  <c r="AH507" i="1" s="1"/>
  <c r="AD506" i="1"/>
  <c r="AF506" i="1"/>
  <c r="AD505" i="1"/>
  <c r="AF505" i="1" s="1"/>
  <c r="AG505" i="1" s="1"/>
  <c r="AH505" i="1" s="1"/>
  <c r="AF504" i="1"/>
  <c r="AG504" i="1"/>
  <c r="AH504" i="1" s="1"/>
  <c r="AF503" i="1"/>
  <c r="AG503" i="1"/>
  <c r="AH503" i="1" s="1"/>
  <c r="AF502" i="1"/>
  <c r="AG502" i="1"/>
  <c r="AH502" i="1" s="1"/>
  <c r="AF501" i="1"/>
  <c r="AG501" i="1"/>
  <c r="AH501" i="1" s="1"/>
  <c r="AF500" i="1"/>
  <c r="AG500" i="1" s="1"/>
  <c r="AH500" i="1" s="1"/>
  <c r="AD499" i="1"/>
  <c r="AD494" i="1"/>
  <c r="AF438" i="1"/>
  <c r="AG438" i="1" s="1"/>
  <c r="AH438" i="1" s="1"/>
  <c r="AF437" i="1"/>
  <c r="AG437" i="1"/>
  <c r="AH437" i="1" s="1"/>
  <c r="AF436" i="1"/>
  <c r="AG436" i="1"/>
  <c r="AH436" i="1" s="1"/>
  <c r="AF435" i="1"/>
  <c r="AG435" i="1" s="1"/>
  <c r="AH435" i="1" s="1"/>
  <c r="AD434" i="1"/>
  <c r="AF433" i="1"/>
  <c r="AG433" i="1"/>
  <c r="AH433" i="1" s="1"/>
  <c r="AD432" i="1"/>
  <c r="AF432" i="1"/>
  <c r="AG432" i="1" s="1"/>
  <c r="AH432" i="1" s="1"/>
  <c r="AF331" i="1"/>
  <c r="AG331" i="1"/>
  <c r="AH331" i="1" s="1"/>
  <c r="AF330" i="1"/>
  <c r="AG330" i="1" s="1"/>
  <c r="AH330" i="1" s="1"/>
  <c r="AF329" i="1"/>
  <c r="AG329" i="1" s="1"/>
  <c r="AH329" i="1" s="1"/>
  <c r="AF328" i="1"/>
  <c r="AG328" i="1"/>
  <c r="AH328" i="1" s="1"/>
  <c r="AF327" i="1"/>
  <c r="AG327" i="1"/>
  <c r="AH327" i="1" s="1"/>
  <c r="AF326" i="1"/>
  <c r="AG326" i="1"/>
  <c r="AH326" i="1" s="1"/>
  <c r="AF325" i="1"/>
  <c r="AG325" i="1"/>
  <c r="AH325" i="1" s="1"/>
  <c r="AF324" i="1"/>
  <c r="AG324" i="1"/>
  <c r="AH324" i="1" s="1"/>
  <c r="AF323" i="1"/>
  <c r="AG323" i="1"/>
  <c r="AH323" i="1" s="1"/>
  <c r="AF322" i="1"/>
  <c r="AG322" i="1"/>
  <c r="AH322" i="1" s="1"/>
  <c r="AF321" i="1"/>
  <c r="AG321" i="1" s="1"/>
  <c r="AH321" i="1" s="1"/>
  <c r="AF320" i="1"/>
  <c r="AG320" i="1"/>
  <c r="AH320" i="1" s="1"/>
  <c r="AF319" i="1"/>
  <c r="AG319" i="1"/>
  <c r="AH319" i="1" s="1"/>
  <c r="AF318" i="1"/>
  <c r="AG318" i="1"/>
  <c r="AH318" i="1" s="1"/>
  <c r="AF317" i="1"/>
  <c r="AG317" i="1"/>
  <c r="AH317" i="1" s="1"/>
  <c r="AF316" i="1"/>
  <c r="AG316" i="1" s="1"/>
  <c r="AH316" i="1" s="1"/>
  <c r="AF315" i="1"/>
  <c r="AG315" i="1"/>
  <c r="AH315" i="1" s="1"/>
  <c r="AF314" i="1"/>
  <c r="AG314" i="1" s="1"/>
  <c r="AH314" i="1" s="1"/>
  <c r="AF313" i="1"/>
  <c r="AG313" i="1" s="1"/>
  <c r="AH313" i="1" s="1"/>
  <c r="AF312" i="1"/>
  <c r="AG312" i="1"/>
  <c r="AH312" i="1" s="1"/>
  <c r="AF311" i="1"/>
  <c r="AG311" i="1"/>
  <c r="AH311" i="1" s="1"/>
  <c r="AF310" i="1"/>
  <c r="AG310" i="1" s="1"/>
  <c r="AH310" i="1" s="1"/>
  <c r="AF279" i="1"/>
  <c r="AG279" i="1"/>
  <c r="AH279" i="1" s="1"/>
  <c r="AF278" i="1"/>
  <c r="AG278" i="1"/>
  <c r="AH278" i="1" s="1"/>
  <c r="AF277" i="1"/>
  <c r="AG277" i="1"/>
  <c r="AH277" i="1" s="1"/>
  <c r="AF276" i="1"/>
  <c r="AG276" i="1"/>
  <c r="AH276" i="1" s="1"/>
  <c r="AF275" i="1"/>
  <c r="AG275" i="1" s="1"/>
  <c r="AH275" i="1" s="1"/>
  <c r="AF274" i="1"/>
  <c r="AG274" i="1" s="1"/>
  <c r="AH274" i="1" s="1"/>
  <c r="AF273" i="1"/>
  <c r="AG273" i="1"/>
  <c r="AH273" i="1" s="1"/>
  <c r="AD272" i="1"/>
  <c r="AF272" i="1"/>
  <c r="AF271" i="1"/>
  <c r="AG271" i="1" s="1"/>
  <c r="AH271" i="1" s="1"/>
  <c r="AF270" i="1"/>
  <c r="AG270" i="1"/>
  <c r="AH270" i="1" s="1"/>
  <c r="AF269" i="1"/>
  <c r="AG269" i="1"/>
  <c r="AH269" i="1" s="1"/>
  <c r="AF260" i="1"/>
  <c r="AG260" i="1"/>
  <c r="AH260" i="1" s="1"/>
  <c r="AF259" i="1"/>
  <c r="AG259" i="1"/>
  <c r="AH259" i="1" s="1"/>
  <c r="AF258" i="1"/>
  <c r="AG258" i="1"/>
  <c r="AH258" i="1" s="1"/>
  <c r="AF257" i="1"/>
  <c r="AG257" i="1" s="1"/>
  <c r="AH257" i="1" s="1"/>
  <c r="AF256" i="1"/>
  <c r="AG256" i="1"/>
  <c r="AH256" i="1" s="1"/>
  <c r="AF255" i="1"/>
  <c r="AG255" i="1"/>
  <c r="AH255" i="1" s="1"/>
  <c r="AF100" i="1"/>
  <c r="AG100" i="1" s="1"/>
  <c r="AH100" i="1" s="1"/>
  <c r="AF99" i="1"/>
  <c r="AG99" i="1"/>
  <c r="AH99" i="1" s="1"/>
  <c r="AF98" i="1"/>
  <c r="AG98" i="1" s="1"/>
  <c r="AH98" i="1" s="1"/>
  <c r="AF97" i="1"/>
  <c r="AG97" i="1"/>
  <c r="AH97" i="1" s="1"/>
  <c r="AF96" i="1"/>
  <c r="AG96" i="1"/>
  <c r="AH96" i="1" s="1"/>
  <c r="AF95" i="1"/>
  <c r="AG95" i="1"/>
  <c r="AH95" i="1" s="1"/>
  <c r="AF94" i="1"/>
  <c r="AG94" i="1" s="1"/>
  <c r="AH94" i="1" s="1"/>
  <c r="AF93" i="1"/>
  <c r="AG93" i="1" s="1"/>
  <c r="AH93" i="1" s="1"/>
  <c r="AF92" i="1"/>
  <c r="AG92" i="1"/>
  <c r="AH92" i="1" s="1"/>
  <c r="AF91" i="1"/>
  <c r="AG91" i="1"/>
  <c r="AH91" i="1" s="1"/>
  <c r="AF90" i="1"/>
  <c r="AG90" i="1" s="1"/>
  <c r="AH90" i="1" s="1"/>
  <c r="AF89" i="1"/>
  <c r="AG89" i="1"/>
  <c r="AH89" i="1" s="1"/>
  <c r="AG309" i="1"/>
  <c r="AH309" i="1" s="1"/>
  <c r="AG608" i="1"/>
  <c r="AH608" i="1" s="1"/>
  <c r="AG578" i="1"/>
  <c r="AH578" i="1" s="1"/>
  <c r="AI708" i="1"/>
  <c r="AJ708" i="1"/>
  <c r="AI707" i="1"/>
  <c r="AJ707" i="1"/>
  <c r="AI705" i="1"/>
  <c r="AJ705" i="1"/>
  <c r="AI704" i="1"/>
  <c r="AJ704" i="1"/>
  <c r="AI703" i="1"/>
  <c r="AJ703" i="1"/>
  <c r="AJ702" i="1"/>
  <c r="AI702" i="1"/>
  <c r="AI701" i="1"/>
  <c r="AJ701" i="1"/>
  <c r="AJ699" i="1"/>
  <c r="AI699" i="1"/>
  <c r="AI696" i="1"/>
  <c r="AJ696" i="1"/>
  <c r="AI694" i="1"/>
  <c r="AJ694" i="1"/>
  <c r="AI691" i="1"/>
  <c r="AJ691" i="1"/>
  <c r="AJ689" i="1"/>
  <c r="AI689" i="1"/>
  <c r="AI687" i="1"/>
  <c r="AJ687" i="1"/>
  <c r="AI685" i="1"/>
  <c r="AJ685" i="1"/>
  <c r="AI682" i="1"/>
  <c r="AJ682" i="1"/>
  <c r="AI668" i="1"/>
  <c r="AJ668" i="1"/>
  <c r="AI642" i="1"/>
  <c r="AJ642" i="1"/>
  <c r="AJ638" i="1"/>
  <c r="AI638" i="1"/>
  <c r="AI637" i="1"/>
  <c r="AJ637" i="1"/>
  <c r="AJ633" i="1"/>
  <c r="AI633" i="1"/>
  <c r="AI608" i="1"/>
  <c r="AJ608" i="1"/>
  <c r="AJ603" i="1"/>
  <c r="AI603" i="1"/>
  <c r="AI602" i="1"/>
  <c r="AJ602" i="1"/>
  <c r="AI601" i="1"/>
  <c r="AJ601" i="1"/>
  <c r="AJ600" i="1"/>
  <c r="AI600" i="1"/>
  <c r="AJ599" i="1"/>
  <c r="AI599" i="1"/>
  <c r="AJ592" i="1"/>
  <c r="AI592" i="1"/>
  <c r="AJ591" i="1"/>
  <c r="AI591" i="1"/>
  <c r="AI590" i="1"/>
  <c r="AJ590" i="1"/>
  <c r="AI589" i="1"/>
  <c r="AJ589" i="1"/>
  <c r="AJ586" i="1"/>
  <c r="AI586" i="1"/>
  <c r="AI585" i="1"/>
  <c r="AJ585" i="1"/>
  <c r="AI579" i="1"/>
  <c r="AJ579" i="1"/>
  <c r="AI578" i="1"/>
  <c r="AJ578" i="1"/>
  <c r="AI577" i="1"/>
  <c r="AJ577" i="1"/>
  <c r="AI575" i="1"/>
  <c r="AJ575" i="1"/>
  <c r="AI546" i="1"/>
  <c r="AJ546" i="1"/>
  <c r="AJ543" i="1"/>
  <c r="AI543" i="1"/>
  <c r="AJ539" i="1"/>
  <c r="AI539" i="1"/>
  <c r="AI538" i="1"/>
  <c r="AJ538" i="1"/>
  <c r="AJ537" i="1"/>
  <c r="AI537" i="1"/>
  <c r="AI536" i="1"/>
  <c r="AJ536" i="1"/>
  <c r="AI535" i="1"/>
  <c r="AJ535" i="1"/>
  <c r="AI534" i="1"/>
  <c r="AJ534" i="1"/>
  <c r="AI533" i="1"/>
  <c r="AJ533" i="1"/>
  <c r="AI532" i="1"/>
  <c r="AJ532" i="1"/>
  <c r="AI531" i="1"/>
  <c r="AJ531" i="1"/>
  <c r="AI530" i="1"/>
  <c r="AJ530" i="1"/>
  <c r="AI529" i="1"/>
  <c r="AJ529" i="1"/>
  <c r="AI528" i="1"/>
  <c r="AJ528" i="1"/>
  <c r="AI527" i="1"/>
  <c r="AJ527" i="1"/>
  <c r="AI526" i="1"/>
  <c r="AJ526" i="1"/>
  <c r="AI525" i="1"/>
  <c r="AJ525" i="1"/>
  <c r="AI524" i="1"/>
  <c r="AJ524" i="1"/>
  <c r="AI523" i="1"/>
  <c r="AJ523" i="1"/>
  <c r="AI522" i="1"/>
  <c r="AJ522" i="1"/>
  <c r="AI521" i="1"/>
  <c r="AJ521" i="1"/>
  <c r="AI520" i="1"/>
  <c r="AJ520" i="1"/>
  <c r="AI519" i="1"/>
  <c r="AJ519" i="1"/>
  <c r="AI518" i="1"/>
  <c r="AJ518" i="1"/>
  <c r="AI517" i="1"/>
  <c r="AJ517" i="1"/>
  <c r="AI516" i="1"/>
  <c r="AJ516" i="1"/>
  <c r="AI515" i="1"/>
  <c r="AJ515" i="1"/>
  <c r="AI514" i="1"/>
  <c r="AJ514" i="1"/>
  <c r="AI513" i="1"/>
  <c r="AJ513" i="1"/>
  <c r="AI512" i="1"/>
  <c r="AJ512" i="1"/>
  <c r="AI511" i="1"/>
  <c r="AJ511" i="1"/>
  <c r="AI510" i="1"/>
  <c r="AJ510" i="1"/>
  <c r="AI509" i="1"/>
  <c r="AJ509" i="1"/>
  <c r="AI507" i="1"/>
  <c r="AJ507" i="1"/>
  <c r="AI504" i="1"/>
  <c r="AJ504" i="1"/>
  <c r="AI503" i="1"/>
  <c r="AJ503" i="1"/>
  <c r="AI502" i="1"/>
  <c r="AJ502" i="1"/>
  <c r="AI501" i="1"/>
  <c r="AJ501" i="1"/>
  <c r="AJ498" i="1"/>
  <c r="AI498" i="1"/>
  <c r="AJ497" i="1"/>
  <c r="AI497" i="1"/>
  <c r="AJ492" i="1"/>
  <c r="AI492" i="1"/>
  <c r="AI485" i="1"/>
  <c r="AJ485" i="1"/>
  <c r="AI484" i="1"/>
  <c r="AJ484" i="1"/>
  <c r="AI483" i="1"/>
  <c r="AJ483" i="1"/>
  <c r="AI482" i="1"/>
  <c r="AJ482" i="1"/>
  <c r="AI481" i="1"/>
  <c r="AJ481" i="1"/>
  <c r="AI480" i="1"/>
  <c r="AJ480" i="1"/>
  <c r="AI479" i="1"/>
  <c r="AJ479" i="1"/>
  <c r="AI478" i="1"/>
  <c r="AJ478" i="1"/>
  <c r="AI452" i="1"/>
  <c r="AJ452" i="1"/>
  <c r="AI451" i="1"/>
  <c r="AJ451" i="1"/>
  <c r="AI450" i="1"/>
  <c r="AJ450" i="1"/>
  <c r="AI449" i="1"/>
  <c r="AJ449" i="1"/>
  <c r="AI446" i="1"/>
  <c r="AJ446" i="1"/>
  <c r="AJ444" i="1"/>
  <c r="AI444" i="1"/>
  <c r="AJ441" i="1"/>
  <c r="AI441" i="1"/>
  <c r="AI440" i="1"/>
  <c r="AJ440" i="1"/>
  <c r="AI439" i="1"/>
  <c r="AJ439" i="1"/>
  <c r="AI437" i="1"/>
  <c r="AJ437" i="1"/>
  <c r="AI436" i="1"/>
  <c r="AJ436" i="1"/>
  <c r="AI404" i="1"/>
  <c r="AJ404" i="1"/>
  <c r="AJ349" i="1"/>
  <c r="AI349" i="1"/>
  <c r="AI344" i="1"/>
  <c r="AJ344" i="1"/>
  <c r="AI343" i="1"/>
  <c r="AJ343" i="1"/>
  <c r="AI342" i="1"/>
  <c r="AJ342" i="1"/>
  <c r="AI341" i="1"/>
  <c r="AJ341" i="1"/>
  <c r="AI340" i="1"/>
  <c r="AJ340" i="1"/>
  <c r="AI339" i="1"/>
  <c r="AJ339" i="1"/>
  <c r="AI338" i="1"/>
  <c r="AJ338" i="1"/>
  <c r="AI337" i="1"/>
  <c r="AJ337" i="1"/>
  <c r="AI336" i="1"/>
  <c r="AJ336" i="1"/>
  <c r="AI335" i="1"/>
  <c r="AJ335" i="1"/>
  <c r="AI334" i="1"/>
  <c r="AJ334" i="1"/>
  <c r="AI333" i="1"/>
  <c r="AJ333" i="1"/>
  <c r="AI332" i="1"/>
  <c r="AJ332" i="1"/>
  <c r="AI331" i="1"/>
  <c r="AJ331" i="1"/>
  <c r="AI306" i="1"/>
  <c r="AJ306" i="1"/>
  <c r="AI305" i="1"/>
  <c r="AJ305" i="1"/>
  <c r="AI304" i="1"/>
  <c r="AJ304" i="1"/>
  <c r="AI303" i="1"/>
  <c r="AJ303" i="1"/>
  <c r="AI302" i="1"/>
  <c r="AJ302" i="1"/>
  <c r="AI301" i="1"/>
  <c r="AJ301" i="1"/>
  <c r="AI300" i="1"/>
  <c r="AJ300" i="1"/>
  <c r="AI299" i="1"/>
  <c r="AJ299" i="1"/>
  <c r="AI298" i="1"/>
  <c r="AJ298" i="1"/>
  <c r="AI297" i="1"/>
  <c r="AJ297" i="1"/>
  <c r="AI296" i="1"/>
  <c r="AJ296" i="1"/>
  <c r="AI295" i="1"/>
  <c r="AJ295" i="1"/>
  <c r="AI294" i="1"/>
  <c r="AJ294" i="1"/>
  <c r="AI293" i="1"/>
  <c r="AJ293" i="1"/>
  <c r="AI292" i="1"/>
  <c r="AJ292" i="1"/>
  <c r="AI291" i="1"/>
  <c r="AJ291" i="1"/>
  <c r="AI290" i="1"/>
  <c r="AJ290" i="1"/>
  <c r="AI289" i="1"/>
  <c r="AJ289" i="1"/>
  <c r="AI288" i="1"/>
  <c r="AJ288" i="1"/>
  <c r="AI287" i="1"/>
  <c r="AJ287" i="1"/>
  <c r="AI286" i="1"/>
  <c r="AJ286" i="1"/>
  <c r="AI285" i="1"/>
  <c r="AJ285" i="1"/>
  <c r="AI284" i="1"/>
  <c r="AJ284" i="1"/>
  <c r="AI283" i="1"/>
  <c r="AJ283" i="1"/>
  <c r="AI282" i="1"/>
  <c r="AJ282" i="1"/>
  <c r="AI281" i="1"/>
  <c r="AJ281" i="1"/>
  <c r="AI280" i="1"/>
  <c r="AJ280" i="1"/>
  <c r="AI250" i="1"/>
  <c r="AJ250" i="1"/>
  <c r="AI239" i="1"/>
  <c r="AJ239" i="1"/>
  <c r="AI227" i="1"/>
  <c r="AJ227" i="1"/>
  <c r="AI226" i="1"/>
  <c r="AJ226" i="1"/>
  <c r="AI225" i="1"/>
  <c r="AJ225" i="1"/>
  <c r="AI224" i="1"/>
  <c r="AJ224" i="1"/>
  <c r="AI223" i="1"/>
  <c r="AJ223" i="1"/>
  <c r="AI222" i="1"/>
  <c r="AJ222" i="1"/>
  <c r="AI221" i="1"/>
  <c r="AJ221" i="1"/>
  <c r="AI220" i="1"/>
  <c r="AJ220" i="1"/>
  <c r="AI219" i="1"/>
  <c r="AJ219" i="1"/>
  <c r="AI218" i="1"/>
  <c r="AJ218" i="1"/>
  <c r="AI217" i="1"/>
  <c r="AJ217" i="1"/>
  <c r="AI216" i="1"/>
  <c r="AJ216" i="1"/>
  <c r="AI215" i="1"/>
  <c r="AJ215" i="1"/>
  <c r="AI209" i="1"/>
  <c r="AJ209" i="1"/>
  <c r="AI208" i="1"/>
  <c r="AJ208" i="1"/>
  <c r="AI207" i="1"/>
  <c r="AJ207" i="1"/>
  <c r="AI206" i="1"/>
  <c r="AJ206" i="1"/>
  <c r="AI205" i="1"/>
  <c r="AJ205" i="1"/>
  <c r="AI203" i="1"/>
  <c r="AJ203" i="1"/>
  <c r="AI202" i="1"/>
  <c r="AJ202" i="1"/>
  <c r="AI201" i="1"/>
  <c r="AJ201" i="1"/>
  <c r="AI192" i="1"/>
  <c r="AJ192" i="1"/>
  <c r="AI176" i="1"/>
  <c r="AJ176" i="1"/>
  <c r="AJ157" i="1"/>
  <c r="AI157" i="1"/>
  <c r="AI156" i="1"/>
  <c r="AJ156" i="1"/>
  <c r="AJ155" i="1"/>
  <c r="AI155" i="1"/>
  <c r="AI154" i="1"/>
  <c r="AJ154" i="1"/>
  <c r="AI153" i="1"/>
  <c r="AJ153" i="1"/>
  <c r="AI152" i="1"/>
  <c r="AJ152" i="1"/>
  <c r="AI151" i="1"/>
  <c r="AJ151" i="1"/>
  <c r="AI150" i="1"/>
  <c r="AJ150" i="1"/>
  <c r="AI149" i="1"/>
  <c r="AJ149" i="1"/>
  <c r="AI148" i="1"/>
  <c r="AJ148" i="1"/>
  <c r="AI113" i="1"/>
  <c r="AJ113" i="1"/>
  <c r="AI112" i="1"/>
  <c r="AJ112" i="1"/>
  <c r="AI109" i="1"/>
  <c r="AJ109" i="1"/>
  <c r="AI108" i="1"/>
  <c r="AJ108" i="1"/>
  <c r="AI107" i="1"/>
  <c r="AJ107" i="1"/>
  <c r="AI106" i="1"/>
  <c r="AJ106" i="1"/>
  <c r="AI105" i="1"/>
  <c r="AJ105" i="1"/>
  <c r="AI104" i="1"/>
  <c r="AJ104" i="1"/>
  <c r="AI103" i="1"/>
  <c r="AJ103" i="1"/>
  <c r="AI102" i="1"/>
  <c r="AJ102" i="1"/>
  <c r="AI101" i="1"/>
  <c r="AJ101" i="1"/>
  <c r="AI88" i="1"/>
  <c r="AJ88" i="1"/>
  <c r="AI9" i="1"/>
  <c r="AJ9" i="1"/>
  <c r="AI8" i="1"/>
  <c r="AJ8" i="1"/>
  <c r="AI7" i="1"/>
  <c r="AJ7" i="1"/>
  <c r="AI6" i="1"/>
  <c r="AJ6" i="1"/>
  <c r="AI5" i="1"/>
  <c r="AJ5" i="1"/>
  <c r="AI4" i="1"/>
  <c r="AJ4" i="1"/>
  <c r="AT3" i="1"/>
  <c r="AI3" i="1"/>
  <c r="AJ3" i="1"/>
  <c r="AT729" i="1"/>
  <c r="AF726" i="1"/>
  <c r="AG726" i="1"/>
  <c r="AH726" i="1" s="1"/>
  <c r="AF725" i="1"/>
  <c r="AG725" i="1" s="1"/>
  <c r="AH725" i="1" s="1"/>
  <c r="AF724" i="1"/>
  <c r="AG724" i="1"/>
  <c r="AH724" i="1" s="1"/>
  <c r="AF723" i="1"/>
  <c r="AG723" i="1" s="1"/>
  <c r="AH723" i="1" s="1"/>
  <c r="AF722" i="1"/>
  <c r="AG722" i="1" s="1"/>
  <c r="AH722" i="1" s="1"/>
  <c r="AF721" i="1"/>
  <c r="AG721" i="1"/>
  <c r="AH721" i="1" s="1"/>
  <c r="AF720" i="1"/>
  <c r="AG720" i="1" s="1"/>
  <c r="AH720" i="1" s="1"/>
  <c r="AF719" i="1"/>
  <c r="AG719" i="1" s="1"/>
  <c r="AH719" i="1" s="1"/>
  <c r="AF718" i="1"/>
  <c r="AG718" i="1" s="1"/>
  <c r="AH718" i="1" s="1"/>
  <c r="AF717" i="1"/>
  <c r="AG717" i="1" s="1"/>
  <c r="AH717" i="1" s="1"/>
  <c r="AF715" i="1"/>
  <c r="AG715" i="1" s="1"/>
  <c r="AH715" i="1" s="1"/>
  <c r="AD714" i="1"/>
  <c r="AD713" i="1"/>
  <c r="AF713" i="1" s="1"/>
  <c r="AF711" i="1"/>
  <c r="AG711" i="1" s="1"/>
  <c r="AH711" i="1" s="1"/>
  <c r="AF710" i="1"/>
  <c r="AG710" i="1" s="1"/>
  <c r="AH710" i="1" s="1"/>
  <c r="AF709" i="1"/>
  <c r="AG709" i="1" s="1"/>
  <c r="AH709" i="1" s="1"/>
  <c r="AF706" i="1"/>
  <c r="AG706" i="1" s="1"/>
  <c r="AH706" i="1" s="1"/>
  <c r="AF700" i="1"/>
  <c r="AG700" i="1" s="1"/>
  <c r="AH700" i="1" s="1"/>
  <c r="AD697" i="1"/>
  <c r="AF697" i="1" s="1"/>
  <c r="AF695" i="1"/>
  <c r="AG695" i="1" s="1"/>
  <c r="AH695" i="1" s="1"/>
  <c r="AF692" i="1"/>
  <c r="AG692" i="1" s="1"/>
  <c r="AH692" i="1" s="1"/>
  <c r="AF688" i="1"/>
  <c r="AG688" i="1" s="1"/>
  <c r="AH688" i="1" s="1"/>
  <c r="AD683" i="1"/>
  <c r="AF683" i="1" s="1"/>
  <c r="AF681" i="1"/>
  <c r="AG681" i="1" s="1"/>
  <c r="AH681" i="1" s="1"/>
  <c r="AF674" i="1"/>
  <c r="AG674" i="1" s="1"/>
  <c r="AH674" i="1" s="1"/>
  <c r="AF673" i="1"/>
  <c r="AG673" i="1" s="1"/>
  <c r="AH673" i="1" s="1"/>
  <c r="AF672" i="1"/>
  <c r="AG672" i="1" s="1"/>
  <c r="AH672" i="1" s="1"/>
  <c r="AF671" i="1"/>
  <c r="AG671" i="1" s="1"/>
  <c r="AH671" i="1" s="1"/>
  <c r="AF670" i="1"/>
  <c r="AG670" i="1" s="1"/>
  <c r="AH670" i="1" s="1"/>
  <c r="AF669" i="1"/>
  <c r="AG669" i="1" s="1"/>
  <c r="AH669" i="1" s="1"/>
  <c r="AF667" i="1"/>
  <c r="AG667" i="1" s="1"/>
  <c r="AH667" i="1" s="1"/>
  <c r="AF666" i="1"/>
  <c r="AG666" i="1" s="1"/>
  <c r="AH666" i="1" s="1"/>
  <c r="AF665" i="1"/>
  <c r="AG665" i="1" s="1"/>
  <c r="AH665" i="1" s="1"/>
  <c r="AF664" i="1"/>
  <c r="AG664" i="1" s="1"/>
  <c r="AH664" i="1" s="1"/>
  <c r="AF663" i="1"/>
  <c r="AG663" i="1" s="1"/>
  <c r="AH663" i="1" s="1"/>
  <c r="AF662" i="1"/>
  <c r="AG662" i="1" s="1"/>
  <c r="AH662" i="1" s="1"/>
  <c r="AF661" i="1"/>
  <c r="AG661" i="1" s="1"/>
  <c r="AH661" i="1" s="1"/>
  <c r="AF660" i="1"/>
  <c r="AG660" i="1" s="1"/>
  <c r="AH660" i="1" s="1"/>
  <c r="AF659" i="1"/>
  <c r="AG659" i="1" s="1"/>
  <c r="AH659" i="1" s="1"/>
  <c r="AF658" i="1"/>
  <c r="AG658" i="1" s="1"/>
  <c r="AH658" i="1" s="1"/>
  <c r="AF657" i="1"/>
  <c r="AG657" i="1" s="1"/>
  <c r="AH657" i="1" s="1"/>
  <c r="AF656" i="1"/>
  <c r="AG656" i="1" s="1"/>
  <c r="AH656" i="1" s="1"/>
  <c r="AF655" i="1"/>
  <c r="AG655" i="1" s="1"/>
  <c r="AH655" i="1" s="1"/>
  <c r="AD654" i="1"/>
  <c r="AF654" i="1" s="1"/>
  <c r="AG654" i="1" s="1"/>
  <c r="AH654" i="1" s="1"/>
  <c r="AF653" i="1"/>
  <c r="AG653" i="1" s="1"/>
  <c r="AH653" i="1" s="1"/>
  <c r="AD652" i="1"/>
  <c r="AD651" i="1"/>
  <c r="AF651" i="1" s="1"/>
  <c r="AG651" i="1" s="1"/>
  <c r="AH651" i="1" s="1"/>
  <c r="AF650" i="1"/>
  <c r="AG650" i="1" s="1"/>
  <c r="AH650" i="1" s="1"/>
  <c r="AF649" i="1"/>
  <c r="AG649" i="1" s="1"/>
  <c r="AH649" i="1" s="1"/>
  <c r="AF648" i="1"/>
  <c r="AG648" i="1" s="1"/>
  <c r="AH648" i="1" s="1"/>
  <c r="AD647" i="1"/>
  <c r="AD646" i="1"/>
  <c r="AF644" i="1"/>
  <c r="AG644" i="1" s="1"/>
  <c r="AH644" i="1" s="1"/>
  <c r="AD643" i="1"/>
  <c r="AF643" i="1" s="1"/>
  <c r="AD641" i="1"/>
  <c r="AF641" i="1" s="1"/>
  <c r="AG641" i="1" s="1"/>
  <c r="AH641" i="1" s="1"/>
  <c r="AD640" i="1"/>
  <c r="AF640" i="1" s="1"/>
  <c r="AG640" i="1" s="1"/>
  <c r="AH640" i="1" s="1"/>
  <c r="AF639" i="1"/>
  <c r="AG639" i="1" s="1"/>
  <c r="AH639" i="1" s="1"/>
  <c r="AD635" i="1"/>
  <c r="AF598" i="1"/>
  <c r="AG598" i="1" s="1"/>
  <c r="AH598" i="1" s="1"/>
  <c r="AF597" i="1"/>
  <c r="AG597" i="1" s="1"/>
  <c r="AH597" i="1" s="1"/>
  <c r="AF596" i="1"/>
  <c r="AG596" i="1" s="1"/>
  <c r="AH596" i="1" s="1"/>
  <c r="AF595" i="1"/>
  <c r="AG595" i="1" s="1"/>
  <c r="AH595" i="1" s="1"/>
  <c r="AF594" i="1"/>
  <c r="AG594" i="1" s="1"/>
  <c r="AH594" i="1" s="1"/>
  <c r="AD593" i="1"/>
  <c r="AD588" i="1"/>
  <c r="AD587" i="1"/>
  <c r="AF574" i="1"/>
  <c r="AG574" i="1" s="1"/>
  <c r="AH574" i="1" s="1"/>
  <c r="AF573" i="1"/>
  <c r="AG573" i="1" s="1"/>
  <c r="AH573" i="1" s="1"/>
  <c r="AF572" i="1"/>
  <c r="AG572" i="1" s="1"/>
  <c r="AH572" i="1" s="1"/>
  <c r="AF571" i="1"/>
  <c r="AG571" i="1" s="1"/>
  <c r="AH571" i="1" s="1"/>
  <c r="AF570" i="1"/>
  <c r="AG570" i="1" s="1"/>
  <c r="AH570" i="1" s="1"/>
  <c r="AF569" i="1"/>
  <c r="AG569" i="1" s="1"/>
  <c r="AH569" i="1" s="1"/>
  <c r="AF568" i="1"/>
  <c r="AG568" i="1" s="1"/>
  <c r="AH568" i="1" s="1"/>
  <c r="AF567" i="1"/>
  <c r="AG567" i="1" s="1"/>
  <c r="AH567" i="1" s="1"/>
  <c r="AF566" i="1"/>
  <c r="AG566" i="1" s="1"/>
  <c r="AH566" i="1" s="1"/>
  <c r="AF565" i="1"/>
  <c r="AG565" i="1" s="1"/>
  <c r="AH565" i="1" s="1"/>
  <c r="AF564" i="1"/>
  <c r="AG564" i="1" s="1"/>
  <c r="AH564" i="1" s="1"/>
  <c r="AF563" i="1"/>
  <c r="AG563" i="1"/>
  <c r="AH563" i="1" s="1"/>
  <c r="AF562" i="1"/>
  <c r="AG562" i="1" s="1"/>
  <c r="AH562" i="1" s="1"/>
  <c r="AF561" i="1"/>
  <c r="AG561" i="1" s="1"/>
  <c r="AH561" i="1" s="1"/>
  <c r="AF560" i="1"/>
  <c r="AG560" i="1" s="1"/>
  <c r="AH560" i="1" s="1"/>
  <c r="AF559" i="1"/>
  <c r="AG559" i="1" s="1"/>
  <c r="AH559" i="1" s="1"/>
  <c r="AF558" i="1"/>
  <c r="AG558" i="1" s="1"/>
  <c r="AH558" i="1" s="1"/>
  <c r="AF557" i="1"/>
  <c r="AG557" i="1" s="1"/>
  <c r="AH557" i="1" s="1"/>
  <c r="AF556" i="1"/>
  <c r="AG556" i="1" s="1"/>
  <c r="AH556" i="1" s="1"/>
  <c r="AD554" i="1"/>
  <c r="AD553" i="1"/>
  <c r="AD552" i="1"/>
  <c r="AD551" i="1"/>
  <c r="AF550" i="1"/>
  <c r="AG550" i="1" s="1"/>
  <c r="AH550" i="1" s="1"/>
  <c r="AD549" i="1"/>
  <c r="AF548" i="1"/>
  <c r="AG548" i="1" s="1"/>
  <c r="AH548" i="1" s="1"/>
  <c r="AD547" i="1"/>
  <c r="AD541" i="1"/>
  <c r="AD540" i="1"/>
  <c r="AD496" i="1"/>
  <c r="AF493" i="1"/>
  <c r="AG493" i="1" s="1"/>
  <c r="AH493" i="1" s="1"/>
  <c r="AF477" i="1"/>
  <c r="AG477" i="1" s="1"/>
  <c r="AH477" i="1" s="1"/>
  <c r="AF476" i="1"/>
  <c r="AG476" i="1" s="1"/>
  <c r="AH476" i="1" s="1"/>
  <c r="AF475" i="1"/>
  <c r="AG475" i="1" s="1"/>
  <c r="AH475" i="1" s="1"/>
  <c r="AF474" i="1"/>
  <c r="AG474" i="1" s="1"/>
  <c r="AH474" i="1" s="1"/>
  <c r="AF473" i="1"/>
  <c r="AG473" i="1" s="1"/>
  <c r="AH473" i="1" s="1"/>
  <c r="AF472" i="1"/>
  <c r="AG472" i="1" s="1"/>
  <c r="AH472" i="1" s="1"/>
  <c r="AF471" i="1"/>
  <c r="AG471" i="1" s="1"/>
  <c r="AH471" i="1" s="1"/>
  <c r="AF470" i="1"/>
  <c r="AG470" i="1" s="1"/>
  <c r="AH470" i="1" s="1"/>
  <c r="AF469" i="1"/>
  <c r="AG469" i="1" s="1"/>
  <c r="AH469" i="1" s="1"/>
  <c r="AF468" i="1"/>
  <c r="AG468" i="1" s="1"/>
  <c r="AH468" i="1" s="1"/>
  <c r="AF467" i="1"/>
  <c r="AG467" i="1" s="1"/>
  <c r="AH467" i="1" s="1"/>
  <c r="AF466" i="1"/>
  <c r="AG466" i="1" s="1"/>
  <c r="AH466" i="1" s="1"/>
  <c r="AF465" i="1"/>
  <c r="AG465" i="1" s="1"/>
  <c r="AH465" i="1" s="1"/>
  <c r="AF464" i="1"/>
  <c r="AG464" i="1" s="1"/>
  <c r="AH464" i="1" s="1"/>
  <c r="AF463" i="1"/>
  <c r="AG463" i="1" s="1"/>
  <c r="AH463" i="1" s="1"/>
  <c r="AF462" i="1"/>
  <c r="AG462" i="1" s="1"/>
  <c r="AH462" i="1" s="1"/>
  <c r="AF461" i="1"/>
  <c r="AG461" i="1" s="1"/>
  <c r="AH461" i="1" s="1"/>
  <c r="AF460" i="1"/>
  <c r="AG460" i="1" s="1"/>
  <c r="AH460" i="1" s="1"/>
  <c r="AF459" i="1"/>
  <c r="AG459" i="1" s="1"/>
  <c r="AH459" i="1" s="1"/>
  <c r="AF458" i="1"/>
  <c r="AG458" i="1" s="1"/>
  <c r="AH458" i="1" s="1"/>
  <c r="AF456" i="1"/>
  <c r="AG456" i="1" s="1"/>
  <c r="AH456" i="1" s="1"/>
  <c r="AF455" i="1"/>
  <c r="AG455" i="1" s="1"/>
  <c r="AH455" i="1" s="1"/>
  <c r="AF454" i="1"/>
  <c r="AG454" i="1" s="1"/>
  <c r="AH454" i="1" s="1"/>
  <c r="AD453" i="1"/>
  <c r="AF448" i="1"/>
  <c r="AG448" i="1" s="1"/>
  <c r="AH448" i="1" s="1"/>
  <c r="AF447" i="1"/>
  <c r="AG447" i="1" s="1"/>
  <c r="AH447" i="1" s="1"/>
  <c r="AF445" i="1"/>
  <c r="AG445" i="1" s="1"/>
  <c r="AH445" i="1" s="1"/>
  <c r="AD442" i="1"/>
  <c r="AF403" i="1"/>
  <c r="AG403" i="1" s="1"/>
  <c r="AH403" i="1" s="1"/>
  <c r="AD402" i="1"/>
  <c r="AF402" i="1" s="1"/>
  <c r="AF401" i="1"/>
  <c r="AG401" i="1" s="1"/>
  <c r="AH401" i="1" s="1"/>
  <c r="AD400" i="1"/>
  <c r="AF399" i="1"/>
  <c r="AG399" i="1" s="1"/>
  <c r="AH399" i="1" s="1"/>
  <c r="AF398" i="1"/>
  <c r="AG398" i="1" s="1"/>
  <c r="AH398" i="1" s="1"/>
  <c r="AF397" i="1"/>
  <c r="AG397" i="1" s="1"/>
  <c r="AH397" i="1" s="1"/>
  <c r="AF396" i="1"/>
  <c r="AG396" i="1" s="1"/>
  <c r="AH396" i="1" s="1"/>
  <c r="AF395" i="1"/>
  <c r="AG395" i="1" s="1"/>
  <c r="AH395" i="1" s="1"/>
  <c r="AD394" i="1"/>
  <c r="AD393" i="1"/>
  <c r="AD392" i="1"/>
  <c r="AF392" i="1" s="1"/>
  <c r="AG392" i="1" s="1"/>
  <c r="AH392" i="1" s="1"/>
  <c r="AF391" i="1"/>
  <c r="AG391" i="1" s="1"/>
  <c r="AH391" i="1" s="1"/>
  <c r="AF390" i="1"/>
  <c r="AG390" i="1" s="1"/>
  <c r="AH390" i="1" s="1"/>
  <c r="AF389" i="1"/>
  <c r="AG389" i="1" s="1"/>
  <c r="AH389" i="1" s="1"/>
  <c r="AF388" i="1"/>
  <c r="AG388" i="1" s="1"/>
  <c r="AH388" i="1" s="1"/>
  <c r="AF387" i="1"/>
  <c r="AG387" i="1" s="1"/>
  <c r="AH387" i="1" s="1"/>
  <c r="AD386" i="1"/>
  <c r="AF386" i="1" s="1"/>
  <c r="AG386" i="1" s="1"/>
  <c r="AH386" i="1" s="1"/>
  <c r="AF385" i="1"/>
  <c r="AG385" i="1" s="1"/>
  <c r="AH385" i="1" s="1"/>
  <c r="AD384" i="1"/>
  <c r="AF384" i="1" s="1"/>
  <c r="AG384" i="1" s="1"/>
  <c r="AH384" i="1" s="1"/>
  <c r="AF383" i="1"/>
  <c r="AG383" i="1" s="1"/>
  <c r="AH383" i="1" s="1"/>
  <c r="AF382" i="1"/>
  <c r="AG382" i="1" s="1"/>
  <c r="AH382" i="1" s="1"/>
  <c r="AD381" i="1"/>
  <c r="AF381" i="1" s="1"/>
  <c r="AG381" i="1" s="1"/>
  <c r="AH381" i="1" s="1"/>
  <c r="AF380" i="1"/>
  <c r="AG380" i="1" s="1"/>
  <c r="AH380" i="1" s="1"/>
  <c r="AF379" i="1"/>
  <c r="AG379" i="1" s="1"/>
  <c r="AH379" i="1" s="1"/>
  <c r="AF378" i="1"/>
  <c r="AG378" i="1" s="1"/>
  <c r="AH378" i="1" s="1"/>
  <c r="AF377" i="1"/>
  <c r="AG377" i="1" s="1"/>
  <c r="AH377" i="1" s="1"/>
  <c r="AF376" i="1"/>
  <c r="AG376" i="1" s="1"/>
  <c r="AH376" i="1" s="1"/>
  <c r="AF375" i="1"/>
  <c r="AG375" i="1" s="1"/>
  <c r="AH375" i="1" s="1"/>
  <c r="AF374" i="1"/>
  <c r="AG374" i="1" s="1"/>
  <c r="AH374" i="1" s="1"/>
  <c r="AF373" i="1"/>
  <c r="AG373" i="1" s="1"/>
  <c r="AH373" i="1" s="1"/>
  <c r="AD372" i="1"/>
  <c r="AF372" i="1" s="1"/>
  <c r="AG372" i="1" s="1"/>
  <c r="AH372" i="1" s="1"/>
  <c r="AF371" i="1"/>
  <c r="AG371" i="1" s="1"/>
  <c r="AH371" i="1" s="1"/>
  <c r="AD370" i="1"/>
  <c r="AD369" i="1"/>
  <c r="AF369" i="1" s="1"/>
  <c r="AG369" i="1" s="1"/>
  <c r="AH369" i="1" s="1"/>
  <c r="AD368" i="1"/>
  <c r="AF367" i="1"/>
  <c r="AG367" i="1" s="1"/>
  <c r="AH367" i="1" s="1"/>
  <c r="AD366" i="1"/>
  <c r="AF366" i="1" s="1"/>
  <c r="AF365" i="1"/>
  <c r="AG365" i="1" s="1"/>
  <c r="AH365" i="1" s="1"/>
  <c r="AF364" i="1"/>
  <c r="AG364" i="1" s="1"/>
  <c r="AH364" i="1" s="1"/>
  <c r="AF363" i="1"/>
  <c r="AG363" i="1" s="1"/>
  <c r="AH363" i="1" s="1"/>
  <c r="AF362" i="1"/>
  <c r="AG362" i="1" s="1"/>
  <c r="AH362" i="1" s="1"/>
  <c r="AF361" i="1"/>
  <c r="AG361" i="1" s="1"/>
  <c r="AH361" i="1" s="1"/>
  <c r="AD360" i="1"/>
  <c r="AF359" i="1"/>
  <c r="AG359" i="1" s="1"/>
  <c r="AH359" i="1" s="1"/>
  <c r="AF358" i="1"/>
  <c r="AG358" i="1" s="1"/>
  <c r="AH358" i="1" s="1"/>
  <c r="AD357" i="1"/>
  <c r="AD356" i="1"/>
  <c r="AF356" i="1" s="1"/>
  <c r="AG356" i="1" s="1"/>
  <c r="AH356" i="1" s="1"/>
  <c r="AD355" i="1"/>
  <c r="AD353" i="1"/>
  <c r="AD352" i="1"/>
  <c r="AF351" i="1"/>
  <c r="AG351" i="1" s="1"/>
  <c r="AH351" i="1" s="1"/>
  <c r="AD350" i="1"/>
  <c r="AF348" i="1"/>
  <c r="AG348" i="1" s="1"/>
  <c r="AH348" i="1" s="1"/>
  <c r="AF346" i="1"/>
  <c r="AG346" i="1" s="1"/>
  <c r="AH346" i="1" s="1"/>
  <c r="AF345" i="1"/>
  <c r="AG345" i="1" s="1"/>
  <c r="AH345" i="1" s="1"/>
  <c r="AF268" i="1"/>
  <c r="AG268" i="1" s="1"/>
  <c r="AH268" i="1" s="1"/>
  <c r="AF267" i="1"/>
  <c r="AG267" i="1" s="1"/>
  <c r="AH267" i="1" s="1"/>
  <c r="AF266" i="1"/>
  <c r="AG266" i="1" s="1"/>
  <c r="AH266" i="1" s="1"/>
  <c r="AF265" i="1"/>
  <c r="AG265" i="1" s="1"/>
  <c r="AH265" i="1" s="1"/>
  <c r="AF264" i="1"/>
  <c r="AG264" i="1" s="1"/>
  <c r="AH264" i="1" s="1"/>
  <c r="AF263" i="1"/>
  <c r="AG263" i="1" s="1"/>
  <c r="AH263" i="1" s="1"/>
  <c r="AF262" i="1"/>
  <c r="AG262" i="1" s="1"/>
  <c r="AH262" i="1" s="1"/>
  <c r="AF261" i="1"/>
  <c r="AG261" i="1" s="1"/>
  <c r="AH261" i="1" s="1"/>
  <c r="AF214" i="1"/>
  <c r="AG214" i="1" s="1"/>
  <c r="AH214" i="1" s="1"/>
  <c r="AF213" i="1"/>
  <c r="AG213" i="1" s="1"/>
  <c r="AH213" i="1" s="1"/>
  <c r="AF212" i="1"/>
  <c r="AG212" i="1" s="1"/>
  <c r="AH212" i="1" s="1"/>
  <c r="AF211" i="1"/>
  <c r="AG211" i="1"/>
  <c r="AH211" i="1" s="1"/>
  <c r="AD210" i="1"/>
  <c r="AF204" i="1"/>
  <c r="AG204" i="1" s="1"/>
  <c r="AH204" i="1" s="1"/>
  <c r="AF178" i="1"/>
  <c r="AG178" i="1" s="1"/>
  <c r="AH178" i="1" s="1"/>
  <c r="AF172" i="1"/>
  <c r="AG172" i="1" s="1"/>
  <c r="AH172" i="1" s="1"/>
  <c r="AF170" i="1"/>
  <c r="AG170" i="1" s="1"/>
  <c r="AH170" i="1" s="1"/>
  <c r="AD160" i="1"/>
  <c r="AF160" i="1" s="1"/>
  <c r="AG160" i="1" s="1"/>
  <c r="AH160" i="1" s="1"/>
  <c r="AF158" i="1"/>
  <c r="AG158" i="1" s="1"/>
  <c r="AH158" i="1" s="1"/>
  <c r="AF111" i="1"/>
  <c r="AG111" i="1" s="1"/>
  <c r="AH111" i="1" s="1"/>
  <c r="AF110" i="1"/>
  <c r="AG110" i="1" s="1"/>
  <c r="AH110" i="1" s="1"/>
  <c r="AF87" i="1"/>
  <c r="AG87" i="1" s="1"/>
  <c r="AH87" i="1" s="1"/>
  <c r="AF86" i="1"/>
  <c r="AG86" i="1" s="1"/>
  <c r="AH86" i="1" s="1"/>
  <c r="AF85" i="1"/>
  <c r="AG85" i="1" s="1"/>
  <c r="AH85" i="1" s="1"/>
  <c r="AF84" i="1"/>
  <c r="AG84" i="1" s="1"/>
  <c r="AH84" i="1" s="1"/>
  <c r="AF83" i="1"/>
  <c r="AG83" i="1" s="1"/>
  <c r="AH83" i="1" s="1"/>
  <c r="AF82" i="1"/>
  <c r="AG82" i="1" s="1"/>
  <c r="AH82" i="1" s="1"/>
  <c r="AF81" i="1"/>
  <c r="AG81" i="1" s="1"/>
  <c r="AH81" i="1" s="1"/>
  <c r="AF80" i="1"/>
  <c r="AG80" i="1" s="1"/>
  <c r="AH80" i="1" s="1"/>
  <c r="AF79" i="1"/>
  <c r="AG79" i="1" s="1"/>
  <c r="AH79" i="1" s="1"/>
  <c r="AF78" i="1"/>
  <c r="AG78" i="1" s="1"/>
  <c r="AH78" i="1" s="1"/>
  <c r="AF77" i="1"/>
  <c r="AG77" i="1" s="1"/>
  <c r="AH77" i="1" s="1"/>
  <c r="AF76" i="1"/>
  <c r="AG76" i="1" s="1"/>
  <c r="AH76" i="1" s="1"/>
  <c r="AF75" i="1"/>
  <c r="AG75" i="1" s="1"/>
  <c r="AH75" i="1" s="1"/>
  <c r="AF74" i="1"/>
  <c r="AG74" i="1" s="1"/>
  <c r="AH74" i="1" s="1"/>
  <c r="AF73" i="1"/>
  <c r="AG73" i="1" s="1"/>
  <c r="AH73" i="1" s="1"/>
  <c r="AF72" i="1"/>
  <c r="AG72" i="1" s="1"/>
  <c r="AH72" i="1" s="1"/>
  <c r="AF71" i="1"/>
  <c r="AG71" i="1" s="1"/>
  <c r="AH71" i="1" s="1"/>
  <c r="AF70" i="1"/>
  <c r="AG70" i="1" s="1"/>
  <c r="AH70" i="1" s="1"/>
  <c r="AF69" i="1"/>
  <c r="AG69" i="1" s="1"/>
  <c r="AH69" i="1" s="1"/>
  <c r="AF68" i="1"/>
  <c r="AG68" i="1" s="1"/>
  <c r="AH68" i="1" s="1"/>
  <c r="AF67" i="1"/>
  <c r="AG67" i="1" s="1"/>
  <c r="AH67" i="1" s="1"/>
  <c r="AF66" i="1"/>
  <c r="AG66" i="1" s="1"/>
  <c r="AH66" i="1" s="1"/>
  <c r="AF65" i="1"/>
  <c r="AG65" i="1" s="1"/>
  <c r="AH65" i="1" s="1"/>
  <c r="AF64" i="1"/>
  <c r="AG64" i="1" s="1"/>
  <c r="AH64" i="1" s="1"/>
  <c r="AF63" i="1"/>
  <c r="AG63" i="1" s="1"/>
  <c r="AH63" i="1" s="1"/>
  <c r="AF62" i="1"/>
  <c r="AG62" i="1" s="1"/>
  <c r="AH62" i="1" s="1"/>
  <c r="AF61" i="1"/>
  <c r="AG61" i="1" s="1"/>
  <c r="AH61" i="1" s="1"/>
  <c r="AF60" i="1"/>
  <c r="AG60" i="1" s="1"/>
  <c r="AH60" i="1" s="1"/>
  <c r="AF59" i="1"/>
  <c r="AG59" i="1" s="1"/>
  <c r="AH59" i="1" s="1"/>
  <c r="AF58" i="1"/>
  <c r="AG58" i="1" s="1"/>
  <c r="AH58" i="1" s="1"/>
  <c r="AF57" i="1"/>
  <c r="AG57" i="1" s="1"/>
  <c r="AH57" i="1" s="1"/>
  <c r="AF56" i="1"/>
  <c r="AG56" i="1" s="1"/>
  <c r="AH56" i="1" s="1"/>
  <c r="AF55" i="1"/>
  <c r="AG55" i="1" s="1"/>
  <c r="AH55" i="1" s="1"/>
  <c r="AF54" i="1"/>
  <c r="AG54" i="1" s="1"/>
  <c r="AH54" i="1" s="1"/>
  <c r="AF53" i="1"/>
  <c r="AG53" i="1" s="1"/>
  <c r="AH53" i="1" s="1"/>
  <c r="AF52" i="1"/>
  <c r="AG52" i="1" s="1"/>
  <c r="AH52" i="1" s="1"/>
  <c r="AF51" i="1"/>
  <c r="AG51" i="1" s="1"/>
  <c r="AH51" i="1" s="1"/>
  <c r="AF50" i="1"/>
  <c r="AG50" i="1" s="1"/>
  <c r="AH50" i="1" s="1"/>
  <c r="AF49" i="1"/>
  <c r="AG49" i="1" s="1"/>
  <c r="AH49" i="1" s="1"/>
  <c r="AF48" i="1"/>
  <c r="AG48" i="1" s="1"/>
  <c r="AH48" i="1" s="1"/>
  <c r="AF47" i="1"/>
  <c r="AG47" i="1" s="1"/>
  <c r="AH47" i="1" s="1"/>
  <c r="AF46" i="1"/>
  <c r="AG46" i="1" s="1"/>
  <c r="AH46" i="1" s="1"/>
  <c r="AF45" i="1"/>
  <c r="AG45" i="1" s="1"/>
  <c r="AH45" i="1" s="1"/>
  <c r="AF44" i="1"/>
  <c r="AG44" i="1" s="1"/>
  <c r="AH44" i="1" s="1"/>
  <c r="AF43" i="1"/>
  <c r="AG43" i="1" s="1"/>
  <c r="AH43" i="1" s="1"/>
  <c r="AF42" i="1"/>
  <c r="AG42" i="1" s="1"/>
  <c r="AH42" i="1" s="1"/>
  <c r="AF41" i="1"/>
  <c r="AG41" i="1" s="1"/>
  <c r="AH41" i="1" s="1"/>
  <c r="AF40" i="1"/>
  <c r="AG40" i="1" s="1"/>
  <c r="AH40" i="1" s="1"/>
  <c r="AF39" i="1"/>
  <c r="AG39" i="1" s="1"/>
  <c r="AH39" i="1" s="1"/>
  <c r="AF38" i="1"/>
  <c r="AG38" i="1" s="1"/>
  <c r="AH38" i="1" s="1"/>
  <c r="AF37" i="1"/>
  <c r="AG37" i="1" s="1"/>
  <c r="AH37" i="1" s="1"/>
  <c r="AF36" i="1"/>
  <c r="AG36" i="1" s="1"/>
  <c r="AH36" i="1" s="1"/>
  <c r="AF35" i="1"/>
  <c r="AG35" i="1" s="1"/>
  <c r="AH35" i="1" s="1"/>
  <c r="AF34" i="1"/>
  <c r="AG34" i="1" s="1"/>
  <c r="AH34" i="1" s="1"/>
  <c r="AF33" i="1"/>
  <c r="AG33" i="1" s="1"/>
  <c r="AH33" i="1" s="1"/>
  <c r="AF32" i="1"/>
  <c r="AG32" i="1" s="1"/>
  <c r="AH32" i="1" s="1"/>
  <c r="AF31" i="1"/>
  <c r="AG31" i="1" s="1"/>
  <c r="AH31" i="1" s="1"/>
  <c r="AF30" i="1"/>
  <c r="AG30" i="1" s="1"/>
  <c r="AH30" i="1" s="1"/>
  <c r="AF29" i="1"/>
  <c r="AG29" i="1" s="1"/>
  <c r="AH29" i="1" s="1"/>
  <c r="AF28" i="1"/>
  <c r="AG28" i="1" s="1"/>
  <c r="AH28" i="1" s="1"/>
  <c r="AD27" i="1"/>
  <c r="AF27" i="1" s="1"/>
  <c r="AF26" i="1"/>
  <c r="AG26" i="1" s="1"/>
  <c r="AH26" i="1" s="1"/>
  <c r="AF25" i="1"/>
  <c r="AG25" i="1"/>
  <c r="AH25" i="1" s="1"/>
  <c r="AF24" i="1"/>
  <c r="AG24" i="1" s="1"/>
  <c r="AH24" i="1" s="1"/>
  <c r="AF23" i="1"/>
  <c r="AG23" i="1" s="1"/>
  <c r="AH23" i="1" s="1"/>
  <c r="AD22" i="1"/>
  <c r="AF21" i="1"/>
  <c r="AG21" i="1" s="1"/>
  <c r="AH21" i="1" s="1"/>
  <c r="AF20" i="1"/>
  <c r="AG20" i="1" s="1"/>
  <c r="AH20" i="1" s="1"/>
  <c r="AF19" i="1"/>
  <c r="AG19" i="1" s="1"/>
  <c r="AH19" i="1" s="1"/>
  <c r="AF18" i="1"/>
  <c r="AG18" i="1" s="1"/>
  <c r="AH18" i="1" s="1"/>
  <c r="AF17" i="1"/>
  <c r="AG17" i="1" s="1"/>
  <c r="AH17" i="1" s="1"/>
  <c r="AF16" i="1"/>
  <c r="AG16" i="1" s="1"/>
  <c r="AH16" i="1" s="1"/>
  <c r="AF15" i="1"/>
  <c r="AG15" i="1"/>
  <c r="AH15" i="1" s="1"/>
  <c r="AD14" i="1"/>
  <c r="AF14" i="1" s="1"/>
  <c r="AG14" i="1" s="1"/>
  <c r="AH14" i="1" s="1"/>
  <c r="AD13" i="1"/>
  <c r="AF12" i="1"/>
  <c r="AG12" i="1" s="1"/>
  <c r="AH12" i="1" s="1"/>
  <c r="AF11" i="1"/>
  <c r="AG11" i="1" s="1"/>
  <c r="AH11" i="1" s="1"/>
  <c r="AF10" i="1"/>
  <c r="AG10" i="1" s="1"/>
  <c r="AH10" i="1" s="1"/>
  <c r="AG645" i="1"/>
  <c r="AH645" i="1" s="1"/>
  <c r="AG555" i="1"/>
  <c r="AH555" i="1" s="1"/>
  <c r="AG491" i="1"/>
  <c r="AH491" i="1" s="1"/>
  <c r="AG457" i="1"/>
  <c r="AH457" i="1" s="1"/>
  <c r="AG173" i="1" l="1"/>
  <c r="AH173" i="1" s="1"/>
  <c r="AG615" i="1"/>
  <c r="AH615" i="1" s="1"/>
  <c r="AG581" i="1"/>
  <c r="AH581" i="1" s="1"/>
  <c r="AG580" i="1"/>
  <c r="AH580" i="1" s="1"/>
  <c r="AG506" i="1"/>
  <c r="AH506" i="1" s="1"/>
  <c r="AG272" i="1"/>
  <c r="AH272" i="1" s="1"/>
  <c r="AF489" i="1"/>
  <c r="AG489" i="1" s="1"/>
  <c r="AH489" i="1" s="1"/>
  <c r="AI443" i="1"/>
  <c r="AJ443" i="1"/>
  <c r="AJ347" i="1"/>
  <c r="AI347" i="1"/>
  <c r="AJ495" i="1"/>
  <c r="AI495" i="1"/>
  <c r="AI542" i="1"/>
  <c r="AJ542" i="1"/>
  <c r="AJ490" i="1"/>
  <c r="AI490" i="1"/>
  <c r="AF488" i="1"/>
  <c r="AG488" i="1" s="1"/>
  <c r="AH488" i="1" s="1"/>
  <c r="AJ487" i="1"/>
  <c r="AI487" i="1"/>
  <c r="AI486" i="1"/>
  <c r="AJ486" i="1"/>
  <c r="AJ431" i="1"/>
  <c r="AI431" i="1"/>
  <c r="AJ430" i="1"/>
  <c r="AI430" i="1"/>
  <c r="AF429" i="1"/>
  <c r="AG429" i="1" s="1"/>
  <c r="AH429" i="1" s="1"/>
  <c r="AF428" i="1"/>
  <c r="AG428" i="1" s="1"/>
  <c r="AH428" i="1" s="1"/>
  <c r="AF427" i="1"/>
  <c r="AG427" i="1" s="1"/>
  <c r="AH427" i="1" s="1"/>
  <c r="AJ426" i="1"/>
  <c r="AI426" i="1"/>
  <c r="AF425" i="1"/>
  <c r="AG425" i="1" s="1"/>
  <c r="AH425" i="1" s="1"/>
  <c r="AF424" i="1"/>
  <c r="AG424" i="1" s="1"/>
  <c r="AH424" i="1" s="1"/>
  <c r="AF423" i="1"/>
  <c r="AG423" i="1" s="1"/>
  <c r="AH423" i="1" s="1"/>
  <c r="AI422" i="1"/>
  <c r="AJ422" i="1"/>
  <c r="AF421" i="1"/>
  <c r="AG421" i="1" s="1"/>
  <c r="AH421" i="1" s="1"/>
  <c r="AJ420" i="1"/>
  <c r="AI420" i="1"/>
  <c r="AJ419" i="1"/>
  <c r="AI419" i="1"/>
  <c r="AF418" i="1"/>
  <c r="AG418" i="1" s="1"/>
  <c r="AH418" i="1" s="1"/>
  <c r="AI417" i="1"/>
  <c r="AJ417" i="1"/>
  <c r="AJ416" i="1"/>
  <c r="AI416" i="1"/>
  <c r="AF415" i="1"/>
  <c r="AG415" i="1" s="1"/>
  <c r="AH415" i="1" s="1"/>
  <c r="AF414" i="1"/>
  <c r="AG414" i="1" s="1"/>
  <c r="AH414" i="1" s="1"/>
  <c r="AI413" i="1"/>
  <c r="AJ413" i="1"/>
  <c r="AJ412" i="1"/>
  <c r="AI412" i="1"/>
  <c r="AF411" i="1"/>
  <c r="AG411" i="1" s="1"/>
  <c r="AH411" i="1" s="1"/>
  <c r="AJ410" i="1"/>
  <c r="AI410" i="1"/>
  <c r="AF409" i="1"/>
  <c r="AG409" i="1" s="1"/>
  <c r="AH409" i="1" s="1"/>
  <c r="AF408" i="1"/>
  <c r="AG408" i="1" s="1"/>
  <c r="AH408" i="1" s="1"/>
  <c r="AF407" i="1"/>
  <c r="AG407" i="1" s="1"/>
  <c r="AH407" i="1" s="1"/>
  <c r="AF406" i="1"/>
  <c r="AG406" i="1" s="1"/>
  <c r="AH406" i="1" s="1"/>
  <c r="AF405" i="1"/>
  <c r="AG405" i="1" s="1"/>
  <c r="AH405" i="1" s="1"/>
  <c r="AI354" i="1"/>
  <c r="AJ354" i="1"/>
  <c r="AF308" i="1"/>
  <c r="AG308" i="1" s="1"/>
  <c r="AH308" i="1" s="1"/>
  <c r="AF307" i="1"/>
  <c r="AG307" i="1" s="1"/>
  <c r="AH307" i="1" s="1"/>
  <c r="AJ254" i="1"/>
  <c r="AI254" i="1"/>
  <c r="AJ253" i="1"/>
  <c r="AI253" i="1"/>
  <c r="AF252" i="1"/>
  <c r="AG252" i="1" s="1"/>
  <c r="AH252" i="1" s="1"/>
  <c r="AF251" i="1"/>
  <c r="AG251" i="1" s="1"/>
  <c r="AH251" i="1" s="1"/>
  <c r="AF249" i="1"/>
  <c r="AG249" i="1" s="1"/>
  <c r="AH249" i="1" s="1"/>
  <c r="AF248" i="1"/>
  <c r="AG248" i="1" s="1"/>
  <c r="AH248" i="1" s="1"/>
  <c r="AF247" i="1"/>
  <c r="AG247" i="1" s="1"/>
  <c r="AH247" i="1" s="1"/>
  <c r="AF246" i="1"/>
  <c r="AG246" i="1" s="1"/>
  <c r="AH246" i="1" s="1"/>
  <c r="AJ245" i="1"/>
  <c r="AI245" i="1"/>
  <c r="AF244" i="1"/>
  <c r="AG244" i="1" s="1"/>
  <c r="AH244" i="1" s="1"/>
  <c r="AJ243" i="1"/>
  <c r="AI243" i="1"/>
  <c r="AF242" i="1"/>
  <c r="AG242" i="1" s="1"/>
  <c r="AH242" i="1" s="1"/>
  <c r="AJ241" i="1"/>
  <c r="AI241" i="1"/>
  <c r="AJ240" i="1"/>
  <c r="AI240" i="1"/>
  <c r="AJ238" i="1"/>
  <c r="AI238" i="1"/>
  <c r="AF237" i="1"/>
  <c r="AG237" i="1" s="1"/>
  <c r="AH237" i="1" s="1"/>
  <c r="AF236" i="1"/>
  <c r="AG236" i="1" s="1"/>
  <c r="AH236" i="1" s="1"/>
  <c r="AF235" i="1"/>
  <c r="AG235" i="1" s="1"/>
  <c r="AH235" i="1" s="1"/>
  <c r="AJ234" i="1"/>
  <c r="AI234" i="1"/>
  <c r="AJ233" i="1"/>
  <c r="AI233" i="1"/>
  <c r="AJ232" i="1"/>
  <c r="AI232" i="1"/>
  <c r="AI231" i="1"/>
  <c r="AJ231" i="1"/>
  <c r="AF230" i="1"/>
  <c r="AG230" i="1" s="1"/>
  <c r="AH230" i="1" s="1"/>
  <c r="AJ229" i="1"/>
  <c r="AI229" i="1"/>
  <c r="AJ228" i="1"/>
  <c r="AI228" i="1"/>
  <c r="AF200" i="1"/>
  <c r="AG200" i="1" s="1"/>
  <c r="AH200" i="1" s="1"/>
  <c r="AJ199" i="1"/>
  <c r="AI199" i="1"/>
  <c r="AJ198" i="1"/>
  <c r="AI198" i="1"/>
  <c r="AJ197" i="1"/>
  <c r="AI197" i="1"/>
  <c r="AF196" i="1"/>
  <c r="AG196" i="1" s="1"/>
  <c r="AH196" i="1" s="1"/>
  <c r="AJ195" i="1"/>
  <c r="AI195" i="1"/>
  <c r="AF194" i="1"/>
  <c r="AG194" i="1"/>
  <c r="AH194" i="1" s="1"/>
  <c r="AI193" i="1"/>
  <c r="AJ193" i="1"/>
  <c r="AJ191" i="1"/>
  <c r="AI191" i="1"/>
  <c r="AJ190" i="1"/>
  <c r="AI190" i="1"/>
  <c r="AI189" i="1"/>
  <c r="AJ189" i="1"/>
  <c r="AJ188" i="1"/>
  <c r="AI188" i="1"/>
  <c r="AI187" i="1"/>
  <c r="AJ187" i="1"/>
  <c r="AJ186" i="1"/>
  <c r="AI186" i="1"/>
  <c r="AJ185" i="1"/>
  <c r="AI185" i="1"/>
  <c r="AJ184" i="1"/>
  <c r="AI184" i="1"/>
  <c r="AI183" i="1"/>
  <c r="AJ183" i="1"/>
  <c r="AI182" i="1"/>
  <c r="AJ182" i="1"/>
  <c r="AJ181" i="1"/>
  <c r="AI181" i="1"/>
  <c r="AF180" i="1"/>
  <c r="AG180" i="1" s="1"/>
  <c r="AH180" i="1" s="1"/>
  <c r="AI179" i="1"/>
  <c r="AJ179" i="1"/>
  <c r="AJ177" i="1"/>
  <c r="AI177" i="1"/>
  <c r="AF175" i="1"/>
  <c r="AG175" i="1" s="1"/>
  <c r="AH175" i="1" s="1"/>
  <c r="AI174" i="1"/>
  <c r="AJ174" i="1"/>
  <c r="AJ171" i="1"/>
  <c r="AI171" i="1"/>
  <c r="AJ169" i="1"/>
  <c r="AI169" i="1"/>
  <c r="AI168" i="1"/>
  <c r="AJ168" i="1"/>
  <c r="AJ167" i="1"/>
  <c r="AI167" i="1"/>
  <c r="AJ166" i="1"/>
  <c r="AI166" i="1"/>
  <c r="AI165" i="1"/>
  <c r="AJ165" i="1"/>
  <c r="AJ164" i="1"/>
  <c r="AI164" i="1"/>
  <c r="AJ163" i="1"/>
  <c r="AI163" i="1"/>
  <c r="AJ162" i="1"/>
  <c r="AI162" i="1"/>
  <c r="AJ161" i="1"/>
  <c r="AI161" i="1"/>
  <c r="AI159" i="1"/>
  <c r="AJ159" i="1"/>
  <c r="AI147" i="1"/>
  <c r="AJ147" i="1"/>
  <c r="AJ146" i="1"/>
  <c r="AI146" i="1"/>
  <c r="AJ145" i="1"/>
  <c r="AI145" i="1"/>
  <c r="AJ144" i="1"/>
  <c r="AI144" i="1"/>
  <c r="AI143" i="1"/>
  <c r="AJ143" i="1"/>
  <c r="AF142" i="1"/>
  <c r="AG142" i="1" s="1"/>
  <c r="AH142" i="1" s="1"/>
  <c r="AJ141" i="1"/>
  <c r="AI141" i="1"/>
  <c r="AJ140" i="1"/>
  <c r="AI140" i="1"/>
  <c r="AI139" i="1"/>
  <c r="AJ139" i="1"/>
  <c r="AI138" i="1"/>
  <c r="AJ138" i="1"/>
  <c r="AI137" i="1"/>
  <c r="AJ137" i="1"/>
  <c r="AI136" i="1"/>
  <c r="AJ136" i="1"/>
  <c r="AJ135" i="1"/>
  <c r="AI135" i="1"/>
  <c r="AJ134" i="1"/>
  <c r="AI134" i="1"/>
  <c r="AI133" i="1"/>
  <c r="AJ133" i="1"/>
  <c r="AI132" i="1"/>
  <c r="AJ132" i="1"/>
  <c r="AJ131" i="1"/>
  <c r="AI131" i="1"/>
  <c r="AJ130" i="1"/>
  <c r="AI130" i="1"/>
  <c r="AJ129" i="1"/>
  <c r="AI129" i="1"/>
  <c r="AJ128" i="1"/>
  <c r="AI128" i="1"/>
  <c r="AI127" i="1"/>
  <c r="AJ127" i="1"/>
  <c r="AF126" i="1"/>
  <c r="AG126" i="1" s="1"/>
  <c r="AH126" i="1" s="1"/>
  <c r="AJ125" i="1"/>
  <c r="AI125" i="1"/>
  <c r="AI124" i="1"/>
  <c r="AJ124" i="1"/>
  <c r="AF123" i="1"/>
  <c r="AG123" i="1" s="1"/>
  <c r="AH123" i="1" s="1"/>
  <c r="AI122" i="1"/>
  <c r="AJ122" i="1"/>
  <c r="AF121" i="1"/>
  <c r="AG121" i="1" s="1"/>
  <c r="AH121" i="1" s="1"/>
  <c r="AF120" i="1"/>
  <c r="AG120" i="1" s="1"/>
  <c r="AH120" i="1" s="1"/>
  <c r="AF119" i="1"/>
  <c r="AG119" i="1" s="1"/>
  <c r="AH119" i="1" s="1"/>
  <c r="AF118" i="1"/>
  <c r="AG118" i="1" s="1"/>
  <c r="AH118" i="1" s="1"/>
  <c r="AJ117" i="1"/>
  <c r="AI117" i="1"/>
  <c r="AJ116" i="1"/>
  <c r="AI116" i="1"/>
  <c r="AF115" i="1"/>
  <c r="AG115" i="1" s="1"/>
  <c r="AH115" i="1" s="1"/>
  <c r="AJ114" i="1"/>
  <c r="AI114" i="1"/>
  <c r="AI728" i="1"/>
  <c r="AJ728" i="1"/>
  <c r="AJ727" i="1"/>
  <c r="AI727" i="1"/>
  <c r="AJ716" i="1"/>
  <c r="AI716" i="1"/>
  <c r="AJ712" i="1"/>
  <c r="AI712" i="1"/>
  <c r="AJ698" i="1"/>
  <c r="AI698" i="1"/>
  <c r="AI693" i="1"/>
  <c r="AJ693" i="1"/>
  <c r="AJ690" i="1"/>
  <c r="AI690" i="1"/>
  <c r="AJ686" i="1"/>
  <c r="AI686" i="1"/>
  <c r="AJ684" i="1"/>
  <c r="AI684" i="1"/>
  <c r="AJ680" i="1"/>
  <c r="AI680" i="1"/>
  <c r="AJ679" i="1"/>
  <c r="AI679" i="1"/>
  <c r="AJ678" i="1"/>
  <c r="AI678" i="1"/>
  <c r="AJ677" i="1"/>
  <c r="AI677" i="1"/>
  <c r="AJ676" i="1"/>
  <c r="AI676" i="1"/>
  <c r="AJ675" i="1"/>
  <c r="AI675" i="1"/>
  <c r="AJ636" i="1"/>
  <c r="AI636" i="1"/>
  <c r="AJ634" i="1"/>
  <c r="AI634" i="1"/>
  <c r="AJ632" i="1"/>
  <c r="AI632" i="1"/>
  <c r="AJ631" i="1"/>
  <c r="AI631" i="1"/>
  <c r="AJ630" i="1"/>
  <c r="AI630" i="1"/>
  <c r="AJ629" i="1"/>
  <c r="AI629" i="1"/>
  <c r="AJ628" i="1"/>
  <c r="AI628" i="1"/>
  <c r="AJ627" i="1"/>
  <c r="AI627" i="1"/>
  <c r="AJ626" i="1"/>
  <c r="AI626" i="1"/>
  <c r="AJ625" i="1"/>
  <c r="AI625" i="1"/>
  <c r="AJ624" i="1"/>
  <c r="AI624" i="1"/>
  <c r="AJ623" i="1"/>
  <c r="AI623" i="1"/>
  <c r="AJ622" i="1"/>
  <c r="AI622" i="1"/>
  <c r="AJ621" i="1"/>
  <c r="AI621" i="1"/>
  <c r="AJ620" i="1"/>
  <c r="AI620" i="1"/>
  <c r="AJ619" i="1"/>
  <c r="AI619" i="1"/>
  <c r="AJ618" i="1"/>
  <c r="AI618" i="1"/>
  <c r="AJ617" i="1"/>
  <c r="AI617" i="1"/>
  <c r="AJ616" i="1"/>
  <c r="AI616" i="1"/>
  <c r="AJ614" i="1"/>
  <c r="AI614" i="1"/>
  <c r="AJ613" i="1"/>
  <c r="AI613" i="1"/>
  <c r="AJ612" i="1"/>
  <c r="AI612" i="1"/>
  <c r="AJ611" i="1"/>
  <c r="AI611" i="1"/>
  <c r="AJ610" i="1"/>
  <c r="AI610" i="1"/>
  <c r="AJ609" i="1"/>
  <c r="AI609" i="1"/>
  <c r="AJ607" i="1"/>
  <c r="AI607" i="1"/>
  <c r="AJ606" i="1"/>
  <c r="AI606" i="1"/>
  <c r="AJ605" i="1"/>
  <c r="AI605" i="1"/>
  <c r="AJ604" i="1"/>
  <c r="AI604" i="1"/>
  <c r="AJ584" i="1"/>
  <c r="AI584" i="1"/>
  <c r="AF583" i="1"/>
  <c r="AG583" i="1"/>
  <c r="AH583" i="1" s="1"/>
  <c r="AJ582" i="1"/>
  <c r="AI582" i="1"/>
  <c r="AJ576" i="1"/>
  <c r="AI576" i="1"/>
  <c r="AJ545" i="1"/>
  <c r="AI545" i="1"/>
  <c r="AJ544" i="1"/>
  <c r="AI544" i="1"/>
  <c r="AJ508" i="1"/>
  <c r="AI508" i="1"/>
  <c r="AJ505" i="1"/>
  <c r="AI505" i="1"/>
  <c r="AJ500" i="1"/>
  <c r="AI500" i="1"/>
  <c r="AF499" i="1"/>
  <c r="AG499" i="1"/>
  <c r="AH499" i="1" s="1"/>
  <c r="AF494" i="1"/>
  <c r="AG494" i="1" s="1"/>
  <c r="AH494" i="1" s="1"/>
  <c r="AJ438" i="1"/>
  <c r="AI438" i="1"/>
  <c r="AJ435" i="1"/>
  <c r="AI435" i="1"/>
  <c r="AF434" i="1"/>
  <c r="AG434" i="1" s="1"/>
  <c r="AH434" i="1" s="1"/>
  <c r="AJ433" i="1"/>
  <c r="AI433" i="1"/>
  <c r="AJ432" i="1"/>
  <c r="AI432" i="1"/>
  <c r="AJ330" i="1"/>
  <c r="AI330" i="1"/>
  <c r="AJ329" i="1"/>
  <c r="AI329" i="1"/>
  <c r="AI328" i="1"/>
  <c r="AJ328" i="1"/>
  <c r="AI327" i="1"/>
  <c r="AJ327" i="1"/>
  <c r="AI326" i="1"/>
  <c r="AJ326" i="1"/>
  <c r="AJ325" i="1"/>
  <c r="AI325" i="1"/>
  <c r="AI324" i="1"/>
  <c r="AJ324" i="1"/>
  <c r="AI323" i="1"/>
  <c r="AJ323" i="1"/>
  <c r="AI322" i="1"/>
  <c r="AJ322" i="1"/>
  <c r="AJ321" i="1"/>
  <c r="AI321" i="1"/>
  <c r="AJ320" i="1"/>
  <c r="AI320" i="1"/>
  <c r="AI319" i="1"/>
  <c r="AJ319" i="1"/>
  <c r="AI318" i="1"/>
  <c r="AJ318" i="1"/>
  <c r="AI317" i="1"/>
  <c r="AJ317" i="1"/>
  <c r="AJ316" i="1"/>
  <c r="AI316" i="1"/>
  <c r="AI315" i="1"/>
  <c r="AJ315" i="1"/>
  <c r="AJ314" i="1"/>
  <c r="AI314" i="1"/>
  <c r="AJ313" i="1"/>
  <c r="AI313" i="1"/>
  <c r="AI312" i="1"/>
  <c r="AJ312" i="1"/>
  <c r="AJ311" i="1"/>
  <c r="AI311" i="1"/>
  <c r="AJ310" i="1"/>
  <c r="AI310" i="1"/>
  <c r="AI279" i="1"/>
  <c r="AJ279" i="1"/>
  <c r="AJ278" i="1"/>
  <c r="AI278" i="1"/>
  <c r="AJ277" i="1"/>
  <c r="AI277" i="1"/>
  <c r="AI276" i="1"/>
  <c r="AJ276" i="1"/>
  <c r="AJ275" i="1"/>
  <c r="AI275" i="1"/>
  <c r="AJ274" i="1"/>
  <c r="AI274" i="1"/>
  <c r="AI273" i="1"/>
  <c r="AJ273" i="1"/>
  <c r="AJ271" i="1"/>
  <c r="AI271" i="1"/>
  <c r="AJ270" i="1"/>
  <c r="AI270" i="1"/>
  <c r="AI269" i="1"/>
  <c r="AJ269" i="1"/>
  <c r="AJ260" i="1"/>
  <c r="AI260" i="1"/>
  <c r="AI259" i="1"/>
  <c r="AJ259" i="1"/>
  <c r="AJ258" i="1"/>
  <c r="AI258" i="1"/>
  <c r="AJ257" i="1"/>
  <c r="AI257" i="1"/>
  <c r="AJ256" i="1"/>
  <c r="AI256" i="1"/>
  <c r="AI255" i="1"/>
  <c r="AJ255" i="1"/>
  <c r="AJ100" i="1"/>
  <c r="AI100" i="1"/>
  <c r="AJ99" i="1"/>
  <c r="AI99" i="1"/>
  <c r="AJ98" i="1"/>
  <c r="AI98" i="1"/>
  <c r="AJ97" i="1"/>
  <c r="AI97" i="1"/>
  <c r="AJ96" i="1"/>
  <c r="AI96" i="1"/>
  <c r="AJ95" i="1"/>
  <c r="AI95" i="1"/>
  <c r="AJ94" i="1"/>
  <c r="AI94" i="1"/>
  <c r="AJ93" i="1"/>
  <c r="AI93" i="1"/>
  <c r="AJ92" i="1"/>
  <c r="AI92" i="1"/>
  <c r="AJ91" i="1"/>
  <c r="AI91" i="1"/>
  <c r="AJ90" i="1"/>
  <c r="AI90" i="1"/>
  <c r="AJ89" i="1"/>
  <c r="AI89" i="1"/>
  <c r="AI309" i="1"/>
  <c r="AJ309" i="1"/>
  <c r="AF210" i="1"/>
  <c r="AG210" i="1" s="1"/>
  <c r="AH210" i="1" s="1"/>
  <c r="AF13" i="1"/>
  <c r="AG13" i="1"/>
  <c r="AH13" i="1" s="1"/>
  <c r="AJ726" i="1"/>
  <c r="AI726" i="1"/>
  <c r="AJ725" i="1"/>
  <c r="AI725" i="1"/>
  <c r="AJ724" i="1"/>
  <c r="AI724" i="1"/>
  <c r="AJ723" i="1"/>
  <c r="AI723" i="1"/>
  <c r="AJ722" i="1"/>
  <c r="AI722" i="1"/>
  <c r="AJ721" i="1"/>
  <c r="AI721" i="1"/>
  <c r="AJ720" i="1"/>
  <c r="AI720" i="1"/>
  <c r="AJ719" i="1"/>
  <c r="AI719" i="1"/>
  <c r="AJ718" i="1"/>
  <c r="AI718" i="1"/>
  <c r="AJ717" i="1"/>
  <c r="AI717" i="1"/>
  <c r="AJ715" i="1"/>
  <c r="AI715" i="1"/>
  <c r="AJ711" i="1"/>
  <c r="AI711" i="1"/>
  <c r="AJ710" i="1"/>
  <c r="AI710" i="1"/>
  <c r="AJ709" i="1"/>
  <c r="AI709" i="1"/>
  <c r="AJ706" i="1"/>
  <c r="AI706" i="1"/>
  <c r="AJ700" i="1"/>
  <c r="AI700" i="1"/>
  <c r="AJ695" i="1"/>
  <c r="AI695" i="1"/>
  <c r="AI692" i="1"/>
  <c r="AJ692" i="1"/>
  <c r="AJ688" i="1"/>
  <c r="AI688" i="1"/>
  <c r="AJ681" i="1"/>
  <c r="AI681" i="1"/>
  <c r="AJ674" i="1"/>
  <c r="AI674" i="1"/>
  <c r="AJ673" i="1"/>
  <c r="AI673" i="1"/>
  <c r="AJ672" i="1"/>
  <c r="AI672" i="1"/>
  <c r="AJ671" i="1"/>
  <c r="AI671" i="1"/>
  <c r="AJ670" i="1"/>
  <c r="AI670" i="1"/>
  <c r="AJ669" i="1"/>
  <c r="AI669" i="1"/>
  <c r="AJ667" i="1"/>
  <c r="AI667" i="1"/>
  <c r="AJ666" i="1"/>
  <c r="AI666" i="1"/>
  <c r="AJ665" i="1"/>
  <c r="AI665" i="1"/>
  <c r="AJ664" i="1"/>
  <c r="AI664" i="1"/>
  <c r="AJ663" i="1"/>
  <c r="AI663" i="1"/>
  <c r="AJ662" i="1"/>
  <c r="AI662" i="1"/>
  <c r="AJ661" i="1"/>
  <c r="AI661" i="1"/>
  <c r="AJ660" i="1"/>
  <c r="AI660" i="1"/>
  <c r="AJ659" i="1"/>
  <c r="AI659" i="1"/>
  <c r="AJ658" i="1"/>
  <c r="AI658" i="1"/>
  <c r="AJ657" i="1"/>
  <c r="AI657" i="1"/>
  <c r="AJ656" i="1"/>
  <c r="AI656" i="1"/>
  <c r="AJ655" i="1"/>
  <c r="AI655" i="1"/>
  <c r="AI654" i="1"/>
  <c r="AJ654" i="1"/>
  <c r="AJ653" i="1"/>
  <c r="AI653" i="1"/>
  <c r="AI651" i="1"/>
  <c r="AJ651" i="1"/>
  <c r="AJ650" i="1"/>
  <c r="AI650" i="1"/>
  <c r="AJ649" i="1"/>
  <c r="AI649" i="1"/>
  <c r="AJ648" i="1"/>
  <c r="AI648" i="1"/>
  <c r="AJ644" i="1"/>
  <c r="AI644" i="1"/>
  <c r="AJ641" i="1"/>
  <c r="AI641" i="1"/>
  <c r="AJ640" i="1"/>
  <c r="AI640" i="1"/>
  <c r="AJ639" i="1"/>
  <c r="AI639" i="1"/>
  <c r="AI598" i="1"/>
  <c r="AJ598" i="1"/>
  <c r="AI597" i="1"/>
  <c r="AJ597" i="1"/>
  <c r="AI596" i="1"/>
  <c r="AJ596" i="1"/>
  <c r="AI595" i="1"/>
  <c r="AJ595" i="1"/>
  <c r="AI594" i="1"/>
  <c r="AJ594" i="1"/>
  <c r="AJ574" i="1"/>
  <c r="AI574" i="1"/>
  <c r="AJ573" i="1"/>
  <c r="AI573" i="1"/>
  <c r="AJ572" i="1"/>
  <c r="AI572" i="1"/>
  <c r="AJ571" i="1"/>
  <c r="AI571" i="1"/>
  <c r="AJ570" i="1"/>
  <c r="AI570" i="1"/>
  <c r="AJ569" i="1"/>
  <c r="AI569" i="1"/>
  <c r="AJ568" i="1"/>
  <c r="AI568" i="1"/>
  <c r="AJ567" i="1"/>
  <c r="AI567" i="1"/>
  <c r="AJ566" i="1"/>
  <c r="AI566" i="1"/>
  <c r="AJ565" i="1"/>
  <c r="AI565" i="1"/>
  <c r="AJ564" i="1"/>
  <c r="AI564" i="1"/>
  <c r="AJ563" i="1"/>
  <c r="AI563" i="1"/>
  <c r="AJ562" i="1"/>
  <c r="AI562" i="1"/>
  <c r="AJ561" i="1"/>
  <c r="AI561" i="1"/>
  <c r="AJ560" i="1"/>
  <c r="AI560" i="1"/>
  <c r="AJ559" i="1"/>
  <c r="AI559" i="1"/>
  <c r="AJ558" i="1"/>
  <c r="AI558" i="1"/>
  <c r="AJ557" i="1"/>
  <c r="AI557" i="1"/>
  <c r="AI556" i="1"/>
  <c r="AJ556" i="1"/>
  <c r="AJ550" i="1"/>
  <c r="AI550" i="1"/>
  <c r="AI548" i="1"/>
  <c r="AJ548" i="1"/>
  <c r="AJ493" i="1"/>
  <c r="AI493" i="1"/>
  <c r="AJ477" i="1"/>
  <c r="AI477" i="1"/>
  <c r="AJ476" i="1"/>
  <c r="AI476" i="1"/>
  <c r="AJ475" i="1"/>
  <c r="AI475" i="1"/>
  <c r="AJ474" i="1"/>
  <c r="AI474" i="1"/>
  <c r="AJ473" i="1"/>
  <c r="AI473" i="1"/>
  <c r="AJ472" i="1"/>
  <c r="AI472" i="1"/>
  <c r="AJ471" i="1"/>
  <c r="AI471" i="1"/>
  <c r="AJ470" i="1"/>
  <c r="AI470" i="1"/>
  <c r="AJ469" i="1"/>
  <c r="AI469" i="1"/>
  <c r="AJ468" i="1"/>
  <c r="AI468" i="1"/>
  <c r="AJ467" i="1"/>
  <c r="AI467" i="1"/>
  <c r="AJ466" i="1"/>
  <c r="AI466" i="1"/>
  <c r="AJ465" i="1"/>
  <c r="AI465" i="1"/>
  <c r="AJ464" i="1"/>
  <c r="AI464" i="1"/>
  <c r="AJ463" i="1"/>
  <c r="AI463" i="1"/>
  <c r="AJ462" i="1"/>
  <c r="AI462" i="1"/>
  <c r="AJ461" i="1"/>
  <c r="AI461" i="1"/>
  <c r="AJ460" i="1"/>
  <c r="AI460" i="1"/>
  <c r="AJ459" i="1"/>
  <c r="AI459" i="1"/>
  <c r="AJ458" i="1"/>
  <c r="AI458" i="1"/>
  <c r="AJ456" i="1"/>
  <c r="AI456" i="1"/>
  <c r="AJ455" i="1"/>
  <c r="AI455" i="1"/>
  <c r="AJ454" i="1"/>
  <c r="AI454" i="1"/>
  <c r="AI448" i="1"/>
  <c r="AJ448" i="1"/>
  <c r="AJ447" i="1"/>
  <c r="AI447" i="1"/>
  <c r="AI445" i="1"/>
  <c r="AJ445" i="1"/>
  <c r="AJ403" i="1"/>
  <c r="AI403" i="1"/>
  <c r="AJ401" i="1"/>
  <c r="AI401" i="1"/>
  <c r="AJ399" i="1"/>
  <c r="AI399" i="1"/>
  <c r="AI398" i="1"/>
  <c r="AJ398" i="1"/>
  <c r="AI397" i="1"/>
  <c r="AJ397" i="1"/>
  <c r="AI396" i="1"/>
  <c r="AJ396" i="1"/>
  <c r="AI395" i="1"/>
  <c r="AJ395" i="1"/>
  <c r="AJ392" i="1"/>
  <c r="AI392" i="1"/>
  <c r="AJ391" i="1"/>
  <c r="AI391" i="1"/>
  <c r="AJ390" i="1"/>
  <c r="AI390" i="1"/>
  <c r="AJ389" i="1"/>
  <c r="AI389" i="1"/>
  <c r="AJ388" i="1"/>
  <c r="AI388" i="1"/>
  <c r="AJ387" i="1"/>
  <c r="AI387" i="1"/>
  <c r="AJ386" i="1"/>
  <c r="AI386" i="1"/>
  <c r="AJ385" i="1"/>
  <c r="AI385" i="1"/>
  <c r="AJ384" i="1"/>
  <c r="AI384" i="1"/>
  <c r="AJ383" i="1"/>
  <c r="AI383" i="1"/>
  <c r="AJ382" i="1"/>
  <c r="AI382" i="1"/>
  <c r="AJ381" i="1"/>
  <c r="AI381" i="1"/>
  <c r="AJ380" i="1"/>
  <c r="AI380" i="1"/>
  <c r="AJ379" i="1"/>
  <c r="AI379" i="1"/>
  <c r="AJ378" i="1"/>
  <c r="AI378" i="1"/>
  <c r="AJ377" i="1"/>
  <c r="AI377" i="1"/>
  <c r="AJ376" i="1"/>
  <c r="AI376" i="1"/>
  <c r="AJ375" i="1"/>
  <c r="AI375" i="1"/>
  <c r="AJ374" i="1"/>
  <c r="AI374" i="1"/>
  <c r="AJ373" i="1"/>
  <c r="AI373" i="1"/>
  <c r="AJ372" i="1"/>
  <c r="AI372" i="1"/>
  <c r="AJ371" i="1"/>
  <c r="AI371" i="1"/>
  <c r="AJ369" i="1"/>
  <c r="AI369" i="1"/>
  <c r="AJ367" i="1"/>
  <c r="AI367" i="1"/>
  <c r="AJ365" i="1"/>
  <c r="AI365" i="1"/>
  <c r="AJ364" i="1"/>
  <c r="AI364" i="1"/>
  <c r="AJ363" i="1"/>
  <c r="AI363" i="1"/>
  <c r="AJ362" i="1"/>
  <c r="AI362" i="1"/>
  <c r="AJ361" i="1"/>
  <c r="AI361" i="1"/>
  <c r="AJ359" i="1"/>
  <c r="AI359" i="1"/>
  <c r="AJ358" i="1"/>
  <c r="AI358" i="1"/>
  <c r="AI356" i="1"/>
  <c r="AJ356" i="1"/>
  <c r="AJ351" i="1"/>
  <c r="AI351" i="1"/>
  <c r="AI348" i="1"/>
  <c r="AJ348" i="1"/>
  <c r="AJ346" i="1"/>
  <c r="AI346" i="1"/>
  <c r="AJ345" i="1"/>
  <c r="AI345" i="1"/>
  <c r="AJ268" i="1"/>
  <c r="AI268" i="1"/>
  <c r="AJ267" i="1"/>
  <c r="AI267" i="1"/>
  <c r="AJ266" i="1"/>
  <c r="AI266" i="1"/>
  <c r="AJ265" i="1"/>
  <c r="AI265" i="1"/>
  <c r="AJ264" i="1"/>
  <c r="AI264" i="1"/>
  <c r="AJ263" i="1"/>
  <c r="AI263" i="1"/>
  <c r="AJ262" i="1"/>
  <c r="AI262" i="1"/>
  <c r="AJ261" i="1"/>
  <c r="AI261" i="1"/>
  <c r="AJ214" i="1"/>
  <c r="AI214" i="1"/>
  <c r="AJ213" i="1"/>
  <c r="AI213" i="1"/>
  <c r="AJ212" i="1"/>
  <c r="AI212" i="1"/>
  <c r="AJ211" i="1"/>
  <c r="AI211" i="1"/>
  <c r="AJ204" i="1"/>
  <c r="AI204" i="1"/>
  <c r="AJ178" i="1"/>
  <c r="AI178" i="1"/>
  <c r="AJ172" i="1"/>
  <c r="AI172" i="1"/>
  <c r="AJ170" i="1"/>
  <c r="AI170" i="1"/>
  <c r="AI160" i="1"/>
  <c r="AJ160" i="1"/>
  <c r="AJ158" i="1"/>
  <c r="AI158" i="1"/>
  <c r="AJ111" i="1"/>
  <c r="AI111" i="1"/>
  <c r="AJ110" i="1"/>
  <c r="AI110" i="1"/>
  <c r="AJ87" i="1"/>
  <c r="AI87" i="1"/>
  <c r="AJ86" i="1"/>
  <c r="AI86" i="1"/>
  <c r="AJ85" i="1"/>
  <c r="AI85" i="1"/>
  <c r="AJ84" i="1"/>
  <c r="AI84" i="1"/>
  <c r="AJ83" i="1"/>
  <c r="AI83" i="1"/>
  <c r="AJ82" i="1"/>
  <c r="AI82" i="1"/>
  <c r="AJ81" i="1"/>
  <c r="AI81" i="1"/>
  <c r="AJ80" i="1"/>
  <c r="AI80" i="1"/>
  <c r="AJ79" i="1"/>
  <c r="AI79" i="1"/>
  <c r="AJ78" i="1"/>
  <c r="AI78" i="1"/>
  <c r="AJ77" i="1"/>
  <c r="AI77" i="1"/>
  <c r="AJ76" i="1"/>
  <c r="AI76" i="1"/>
  <c r="AJ75" i="1"/>
  <c r="AI75" i="1"/>
  <c r="AJ74" i="1"/>
  <c r="AI74" i="1"/>
  <c r="AJ73" i="1"/>
  <c r="AI73" i="1"/>
  <c r="AJ72" i="1"/>
  <c r="AI72" i="1"/>
  <c r="AJ71" i="1"/>
  <c r="AI71" i="1"/>
  <c r="AJ70" i="1"/>
  <c r="AI70" i="1"/>
  <c r="AJ69" i="1"/>
  <c r="AI69" i="1"/>
  <c r="AJ68" i="1"/>
  <c r="AI68" i="1"/>
  <c r="AJ67" i="1"/>
  <c r="AI67" i="1"/>
  <c r="AJ66" i="1"/>
  <c r="AI66" i="1"/>
  <c r="AJ65" i="1"/>
  <c r="AI65" i="1"/>
  <c r="AJ64" i="1"/>
  <c r="AI64" i="1"/>
  <c r="AJ63" i="1"/>
  <c r="AI63" i="1"/>
  <c r="AJ62" i="1"/>
  <c r="AI62" i="1"/>
  <c r="AJ61" i="1"/>
  <c r="AI61" i="1"/>
  <c r="AJ60" i="1"/>
  <c r="AI60" i="1"/>
  <c r="AJ59" i="1"/>
  <c r="AI59" i="1"/>
  <c r="AJ58" i="1"/>
  <c r="AI58" i="1"/>
  <c r="AJ57" i="1"/>
  <c r="AI57" i="1"/>
  <c r="AJ56" i="1"/>
  <c r="AI56" i="1"/>
  <c r="AJ55" i="1"/>
  <c r="AI55" i="1"/>
  <c r="AJ54" i="1"/>
  <c r="AI54" i="1"/>
  <c r="AJ53" i="1"/>
  <c r="AI53" i="1"/>
  <c r="AJ52" i="1"/>
  <c r="AI52" i="1"/>
  <c r="AJ51" i="1"/>
  <c r="AI51" i="1"/>
  <c r="AJ50" i="1"/>
  <c r="AI50" i="1"/>
  <c r="AJ49" i="1"/>
  <c r="AI49" i="1"/>
  <c r="AJ48" i="1"/>
  <c r="AI48" i="1"/>
  <c r="AJ47" i="1"/>
  <c r="AI47" i="1"/>
  <c r="AJ46" i="1"/>
  <c r="AI46" i="1"/>
  <c r="AJ45" i="1"/>
  <c r="AI45" i="1"/>
  <c r="AJ44" i="1"/>
  <c r="AI44" i="1"/>
  <c r="AJ43" i="1"/>
  <c r="AI43" i="1"/>
  <c r="AJ42" i="1"/>
  <c r="AI42" i="1"/>
  <c r="AJ41" i="1"/>
  <c r="AI41" i="1"/>
  <c r="AJ40" i="1"/>
  <c r="AI40" i="1"/>
  <c r="AJ39" i="1"/>
  <c r="AI39" i="1"/>
  <c r="AJ38" i="1"/>
  <c r="AI38" i="1"/>
  <c r="AJ37" i="1"/>
  <c r="AI37" i="1"/>
  <c r="AJ36" i="1"/>
  <c r="AI36" i="1"/>
  <c r="AJ35" i="1"/>
  <c r="AI35" i="1"/>
  <c r="AJ34" i="1"/>
  <c r="AI34" i="1"/>
  <c r="AJ33" i="1"/>
  <c r="AI33" i="1"/>
  <c r="AJ32" i="1"/>
  <c r="AI32" i="1"/>
  <c r="AJ31" i="1"/>
  <c r="AI31" i="1"/>
  <c r="AJ30" i="1"/>
  <c r="AI30" i="1"/>
  <c r="AJ29" i="1"/>
  <c r="AI29" i="1"/>
  <c r="AJ28" i="1"/>
  <c r="AI28" i="1"/>
  <c r="AJ26" i="1"/>
  <c r="AI26" i="1"/>
  <c r="AJ25" i="1"/>
  <c r="AI25" i="1"/>
  <c r="AJ24" i="1"/>
  <c r="AI24" i="1"/>
  <c r="AJ23" i="1"/>
  <c r="AI23" i="1"/>
  <c r="AJ21" i="1"/>
  <c r="AI21" i="1"/>
  <c r="AJ20" i="1"/>
  <c r="AI20" i="1"/>
  <c r="AJ19" i="1"/>
  <c r="AI19" i="1"/>
  <c r="AJ18" i="1"/>
  <c r="AI18" i="1"/>
  <c r="AJ17" i="1"/>
  <c r="AI17" i="1"/>
  <c r="AJ16" i="1"/>
  <c r="AI16" i="1"/>
  <c r="AJ15" i="1"/>
  <c r="AI15" i="1"/>
  <c r="AJ14" i="1"/>
  <c r="AI14" i="1"/>
  <c r="AJ13" i="1"/>
  <c r="AI13" i="1"/>
  <c r="AJ12" i="1"/>
  <c r="AI12" i="1"/>
  <c r="AJ11" i="1"/>
  <c r="AI11" i="1"/>
  <c r="AJ10" i="1"/>
  <c r="AI10" i="1"/>
  <c r="AI645" i="1"/>
  <c r="AJ645" i="1"/>
  <c r="AI555" i="1"/>
  <c r="AJ555" i="1"/>
  <c r="AJ491" i="1"/>
  <c r="AI491" i="1"/>
  <c r="AJ457" i="1"/>
  <c r="AI457" i="1"/>
  <c r="AG697" i="1"/>
  <c r="AH697" i="1" s="1"/>
  <c r="AG366" i="1"/>
  <c r="AH366" i="1" s="1"/>
  <c r="AG713" i="1"/>
  <c r="AH713" i="1" s="1"/>
  <c r="AG402" i="1"/>
  <c r="AH402" i="1" s="1"/>
  <c r="AG643" i="1"/>
  <c r="AH643" i="1" s="1"/>
  <c r="AG27" i="1"/>
  <c r="AH27" i="1" s="1"/>
  <c r="AG683" i="1"/>
  <c r="AH683" i="1" s="1"/>
  <c r="AF714" i="1"/>
  <c r="AG714" i="1" s="1"/>
  <c r="AH714" i="1" s="1"/>
  <c r="AF652" i="1"/>
  <c r="AG652" i="1" s="1"/>
  <c r="AH652" i="1" s="1"/>
  <c r="AF647" i="1"/>
  <c r="AG647" i="1" s="1"/>
  <c r="AH647" i="1" s="1"/>
  <c r="AF646" i="1"/>
  <c r="AG646" i="1" s="1"/>
  <c r="AH646" i="1" s="1"/>
  <c r="AF635" i="1"/>
  <c r="AG635" i="1" s="1"/>
  <c r="AH635" i="1" s="1"/>
  <c r="AF593" i="1"/>
  <c r="AG593" i="1" s="1"/>
  <c r="AH593" i="1" s="1"/>
  <c r="AF588" i="1"/>
  <c r="AG588" i="1" s="1"/>
  <c r="AH588" i="1" s="1"/>
  <c r="AF587" i="1"/>
  <c r="AG587" i="1" s="1"/>
  <c r="AH587" i="1" s="1"/>
  <c r="AF554" i="1"/>
  <c r="AG554" i="1" s="1"/>
  <c r="AH554" i="1" s="1"/>
  <c r="AF553" i="1"/>
  <c r="AG553" i="1" s="1"/>
  <c r="AH553" i="1" s="1"/>
  <c r="AF552" i="1"/>
  <c r="AG552" i="1" s="1"/>
  <c r="AH552" i="1" s="1"/>
  <c r="AF551" i="1"/>
  <c r="AG551" i="1" s="1"/>
  <c r="AH551" i="1" s="1"/>
  <c r="AF549" i="1"/>
  <c r="AG549" i="1" s="1"/>
  <c r="AH549" i="1" s="1"/>
  <c r="AF547" i="1"/>
  <c r="AG547" i="1" s="1"/>
  <c r="AH547" i="1" s="1"/>
  <c r="AF541" i="1"/>
  <c r="AG541" i="1" s="1"/>
  <c r="AH541" i="1" s="1"/>
  <c r="AF540" i="1"/>
  <c r="AG540" i="1" s="1"/>
  <c r="AH540" i="1" s="1"/>
  <c r="AF496" i="1"/>
  <c r="AG496" i="1" s="1"/>
  <c r="AH496" i="1" s="1"/>
  <c r="AF453" i="1"/>
  <c r="AG453" i="1" s="1"/>
  <c r="AH453" i="1" s="1"/>
  <c r="AF442" i="1"/>
  <c r="AG442" i="1" s="1"/>
  <c r="AH442" i="1" s="1"/>
  <c r="AF400" i="1"/>
  <c r="AG400" i="1" s="1"/>
  <c r="AH400" i="1" s="1"/>
  <c r="AF394" i="1"/>
  <c r="AG394" i="1" s="1"/>
  <c r="AH394" i="1" s="1"/>
  <c r="AF393" i="1"/>
  <c r="AG393" i="1" s="1"/>
  <c r="AH393" i="1" s="1"/>
  <c r="AF370" i="1"/>
  <c r="AG370" i="1" s="1"/>
  <c r="AH370" i="1" s="1"/>
  <c r="AF368" i="1"/>
  <c r="AG368" i="1" s="1"/>
  <c r="AH368" i="1" s="1"/>
  <c r="AF360" i="1"/>
  <c r="AG360" i="1" s="1"/>
  <c r="AH360" i="1" s="1"/>
  <c r="AF357" i="1"/>
  <c r="AG357" i="1" s="1"/>
  <c r="AH357" i="1" s="1"/>
  <c r="AF355" i="1"/>
  <c r="AG355" i="1" s="1"/>
  <c r="AH355" i="1" s="1"/>
  <c r="AF353" i="1"/>
  <c r="AG353" i="1" s="1"/>
  <c r="AH353" i="1" s="1"/>
  <c r="AF352" i="1"/>
  <c r="AG352" i="1" s="1"/>
  <c r="AH352" i="1" s="1"/>
  <c r="AF350" i="1"/>
  <c r="AG350" i="1" s="1"/>
  <c r="AH350" i="1" s="1"/>
  <c r="AF22" i="1"/>
  <c r="AG22" i="1" s="1"/>
  <c r="AH22" i="1" s="1"/>
  <c r="AJ173" i="1" l="1"/>
  <c r="AI173" i="1"/>
  <c r="AJ615" i="1"/>
  <c r="AI615" i="1"/>
  <c r="AJ581" i="1"/>
  <c r="AI581" i="1"/>
  <c r="AJ580" i="1"/>
  <c r="AI580" i="1"/>
  <c r="AJ506" i="1"/>
  <c r="AI506" i="1"/>
  <c r="AJ272" i="1"/>
  <c r="AI272" i="1"/>
  <c r="AI489" i="1"/>
  <c r="AJ489" i="1"/>
  <c r="AJ488" i="1"/>
  <c r="AI488" i="1"/>
  <c r="AJ429" i="1"/>
  <c r="AI429" i="1"/>
  <c r="AJ428" i="1"/>
  <c r="AI428" i="1"/>
  <c r="AJ427" i="1"/>
  <c r="AI427" i="1"/>
  <c r="AJ425" i="1"/>
  <c r="AI425" i="1"/>
  <c r="AJ424" i="1"/>
  <c r="AI424" i="1"/>
  <c r="AJ423" i="1"/>
  <c r="AI423" i="1"/>
  <c r="AJ421" i="1"/>
  <c r="AI421" i="1"/>
  <c r="AJ418" i="1"/>
  <c r="AI418" i="1"/>
  <c r="AJ415" i="1"/>
  <c r="AI415" i="1"/>
  <c r="AJ414" i="1"/>
  <c r="AI414" i="1"/>
  <c r="AJ411" i="1"/>
  <c r="AI411" i="1"/>
  <c r="AJ409" i="1"/>
  <c r="AI409" i="1"/>
  <c r="AJ408" i="1"/>
  <c r="AI408" i="1"/>
  <c r="AJ407" i="1"/>
  <c r="AI407" i="1"/>
  <c r="AJ406" i="1"/>
  <c r="AI406" i="1"/>
  <c r="AJ405" i="1"/>
  <c r="AI405" i="1"/>
  <c r="AJ308" i="1"/>
  <c r="AI308" i="1"/>
  <c r="AJ307" i="1"/>
  <c r="AI307" i="1"/>
  <c r="AJ252" i="1"/>
  <c r="AI252" i="1"/>
  <c r="AJ251" i="1"/>
  <c r="AI251" i="1"/>
  <c r="AJ249" i="1"/>
  <c r="AI249" i="1"/>
  <c r="AJ248" i="1"/>
  <c r="AI248" i="1"/>
  <c r="AJ247" i="1"/>
  <c r="AI247" i="1"/>
  <c r="AJ246" i="1"/>
  <c r="AI246" i="1"/>
  <c r="AJ244" i="1"/>
  <c r="AI244" i="1"/>
  <c r="AJ242" i="1"/>
  <c r="AI242" i="1"/>
  <c r="AJ237" i="1"/>
  <c r="AI237" i="1"/>
  <c r="AJ236" i="1"/>
  <c r="AI236" i="1"/>
  <c r="AJ235" i="1"/>
  <c r="AI235" i="1"/>
  <c r="AJ230" i="1"/>
  <c r="AI230" i="1"/>
  <c r="AJ200" i="1"/>
  <c r="AI200" i="1"/>
  <c r="AJ196" i="1"/>
  <c r="AI196" i="1"/>
  <c r="AJ194" i="1"/>
  <c r="AI194" i="1"/>
  <c r="AJ180" i="1"/>
  <c r="AI180" i="1"/>
  <c r="AJ175" i="1"/>
  <c r="AI175" i="1"/>
  <c r="AJ142" i="1"/>
  <c r="AI142" i="1"/>
  <c r="AJ126" i="1"/>
  <c r="AI126" i="1"/>
  <c r="AJ123" i="1"/>
  <c r="AI123" i="1"/>
  <c r="AJ121" i="1"/>
  <c r="AI121" i="1"/>
  <c r="AJ120" i="1"/>
  <c r="AI120" i="1"/>
  <c r="AJ119" i="1"/>
  <c r="AI119" i="1"/>
  <c r="AJ118" i="1"/>
  <c r="AI118" i="1"/>
  <c r="AJ115" i="1"/>
  <c r="AI115" i="1"/>
  <c r="AJ583" i="1"/>
  <c r="AI583" i="1"/>
  <c r="AJ499" i="1"/>
  <c r="AI499" i="1"/>
  <c r="AJ494" i="1"/>
  <c r="AI494" i="1"/>
  <c r="AJ434" i="1"/>
  <c r="AI434" i="1"/>
  <c r="AI210" i="1"/>
  <c r="AJ210" i="1"/>
  <c r="AI697" i="1"/>
  <c r="AJ697" i="1"/>
  <c r="AI366" i="1"/>
  <c r="AJ366" i="1"/>
  <c r="AI713" i="1"/>
  <c r="AJ713" i="1"/>
  <c r="AI402" i="1"/>
  <c r="AJ402" i="1"/>
  <c r="AJ643" i="1"/>
  <c r="AI643" i="1"/>
  <c r="AI27" i="1"/>
  <c r="AJ27" i="1"/>
  <c r="AI683" i="1"/>
  <c r="AJ683" i="1"/>
  <c r="AI714" i="1"/>
  <c r="AJ714" i="1"/>
  <c r="AI652" i="1"/>
  <c r="AJ652" i="1"/>
  <c r="AJ647" i="1"/>
  <c r="AI647" i="1"/>
  <c r="AJ646" i="1"/>
  <c r="AI646" i="1"/>
  <c r="AJ635" i="1"/>
  <c r="AI635" i="1"/>
  <c r="AI593" i="1"/>
  <c r="AJ593" i="1"/>
  <c r="AJ588" i="1"/>
  <c r="AI588" i="1"/>
  <c r="AJ587" i="1"/>
  <c r="AI587" i="1"/>
  <c r="AJ554" i="1"/>
  <c r="AI554" i="1"/>
  <c r="AI553" i="1"/>
  <c r="AJ553" i="1"/>
  <c r="AJ552" i="1"/>
  <c r="AI552" i="1"/>
  <c r="AI551" i="1"/>
  <c r="AJ551" i="1"/>
  <c r="AJ549" i="1"/>
  <c r="AI549" i="1"/>
  <c r="AI547" i="1"/>
  <c r="AJ547" i="1"/>
  <c r="AI541" i="1"/>
  <c r="AJ541" i="1"/>
  <c r="AJ540" i="1"/>
  <c r="AI540" i="1"/>
  <c r="AI496" i="1"/>
  <c r="AJ496" i="1"/>
  <c r="AI453" i="1"/>
  <c r="AJ453" i="1"/>
  <c r="AJ442" i="1"/>
  <c r="AI442" i="1"/>
  <c r="AI400" i="1"/>
  <c r="AJ400" i="1"/>
  <c r="AJ394" i="1"/>
  <c r="AI394" i="1"/>
  <c r="AI393" i="1"/>
  <c r="AJ393" i="1"/>
  <c r="AI370" i="1"/>
  <c r="AJ370" i="1"/>
  <c r="AI368" i="1"/>
  <c r="AJ368" i="1"/>
  <c r="AI360" i="1"/>
  <c r="AJ360" i="1"/>
  <c r="AI357" i="1"/>
  <c r="AJ357" i="1"/>
  <c r="AJ355" i="1"/>
  <c r="AI355" i="1"/>
  <c r="AJ353" i="1"/>
  <c r="AI353" i="1"/>
  <c r="AI352" i="1"/>
  <c r="AJ352" i="1"/>
  <c r="AJ350" i="1"/>
  <c r="AI350" i="1"/>
  <c r="AI22" i="1"/>
  <c r="AJ22" i="1"/>
  <c r="AI729" i="1" l="1"/>
</calcChain>
</file>

<file path=xl/sharedStrings.xml><?xml version="1.0" encoding="utf-8"?>
<sst xmlns="http://schemas.openxmlformats.org/spreadsheetml/2006/main" count="786" uniqueCount="55">
  <si>
    <t>CHAVE02</t>
  </si>
  <si>
    <t>Posto Serviço</t>
  </si>
  <si>
    <t>Código MGS</t>
  </si>
  <si>
    <t>Posto de Serviço - MGS</t>
  </si>
  <si>
    <t>Item de serviço - CATMAS</t>
  </si>
  <si>
    <t>ANEXO A - 3º TERMO ADITIVO</t>
  </si>
  <si>
    <t>Carga Horária</t>
  </si>
  <si>
    <t>Alíquota ISSQN</t>
  </si>
  <si>
    <t>Município</t>
  </si>
  <si>
    <t>Qtd Mensal</t>
  </si>
  <si>
    <t>Qtd total do item de pedido</t>
  </si>
  <si>
    <t>Salário-base</t>
  </si>
  <si>
    <t>Periculosidade</t>
  </si>
  <si>
    <t>Adicional Noturno</t>
  </si>
  <si>
    <t>Prorrogação da Jornada Noturna</t>
  </si>
  <si>
    <t>Hora Ficta Noturna</t>
  </si>
  <si>
    <t>Hora Extra Intervalo</t>
  </si>
  <si>
    <t>Feriado Trabalhado</t>
  </si>
  <si>
    <t>Dia do Trabalhador</t>
  </si>
  <si>
    <t>Total da Remuneração</t>
  </si>
  <si>
    <t>Encargos Sociais e Trabalhistas</t>
  </si>
  <si>
    <t>Uniforme</t>
  </si>
  <si>
    <t>EPI</t>
  </si>
  <si>
    <t>Total de Insumos</t>
  </si>
  <si>
    <t>Seguro de Vida</t>
  </si>
  <si>
    <t>Vale-Transporte</t>
  </si>
  <si>
    <t>Reserva Técnica</t>
  </si>
  <si>
    <t>Taxa de Administração</t>
  </si>
  <si>
    <t>Preço Unitário do Posto Vazio antes dos Tributos</t>
  </si>
  <si>
    <t>Preço Unitário do Posto com Tributos 
(PORTAL DE COMPRAS)</t>
  </si>
  <si>
    <t>Preço Total do Posto Mensal</t>
  </si>
  <si>
    <t>Preço Total do Posto (Até o fim da Vigência)</t>
  </si>
  <si>
    <t>Preço Unitário da Cesta Básica Antes dos Tributos</t>
  </si>
  <si>
    <t>Preço Unitário da Cesta Básica (Demais Municípios)</t>
  </si>
  <si>
    <t>Preço Unitário da Cesta Básica (Belo Horizonte)</t>
  </si>
  <si>
    <t>Preço Total da Cesta Básica com Tributos</t>
  </si>
  <si>
    <t>Preço Unitário do Auxílio Alimentação Antes dos Tributos</t>
  </si>
  <si>
    <t>Preço Unitário do Auxílio Alimentação (Demais Municípios)</t>
  </si>
  <si>
    <t>Preço Unitário do Auxílio Alimentação (Belo Horizonte)</t>
  </si>
  <si>
    <t>Preço Total do Auxílio Alimentação Mensal</t>
  </si>
  <si>
    <t>Preço Total do Auxílio Alimentação e Cesta Básica Mensal</t>
  </si>
  <si>
    <t>Preço Total do Auxílio Alimentação e Cesta Básica (Até o fim da Vigência)</t>
  </si>
  <si>
    <t>Posto de Serviço - CATMAS</t>
  </si>
  <si>
    <t>%</t>
  </si>
  <si>
    <t>Valor</t>
  </si>
  <si>
    <t>AGENTE DE CAMPO - (PERIC.) - DIARISTA DIURNO - 40H</t>
  </si>
  <si>
    <t>Demais Municípios</t>
  </si>
  <si>
    <t>Belo Horizonte</t>
  </si>
  <si>
    <t>A</t>
  </si>
  <si>
    <t>B</t>
  </si>
  <si>
    <t>E</t>
  </si>
  <si>
    <t>C</t>
  </si>
  <si>
    <t>D</t>
  </si>
  <si>
    <t>Valores vigentes a partir da data de assinatura desse instrumento, resguardadas as atualizações oriundas de Convenções Coletivas de Trabalho registradas após 24/07/2026.</t>
  </si>
  <si>
    <t>Belo Horizonte, 05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</si>
</sst>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7D3A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44D0D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1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 wrapText="1"/>
    </xf>
    <xf numFmtId="164" fontId="3" fillId="2" borderId="3" xfId="3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1" xfId="4" applyFont="1" applyFill="1" applyBorder="1" applyAlignment="1" applyProtection="1">
      <alignment horizontal="center" vertical="center" wrapText="1"/>
      <protection hidden="1"/>
    </xf>
    <xf numFmtId="0" fontId="3" fillId="3" borderId="1" xfId="4" applyFont="1" applyFill="1" applyBorder="1" applyAlignment="1" applyProtection="1">
      <alignment horizontal="center" vertical="center" wrapText="1"/>
      <protection hidden="1"/>
    </xf>
    <xf numFmtId="0" fontId="3" fillId="4" borderId="1" xfId="4" applyFont="1" applyFill="1" applyBorder="1" applyAlignment="1" applyProtection="1">
      <alignment horizontal="center" vertical="center" wrapText="1"/>
      <protection hidden="1"/>
    </xf>
    <xf numFmtId="0" fontId="3" fillId="5" borderId="1" xfId="5" applyFont="1" applyFill="1" applyBorder="1" applyAlignment="1" applyProtection="1">
      <alignment horizontal="center" vertical="center" wrapText="1"/>
      <protection hidden="1"/>
    </xf>
    <xf numFmtId="0" fontId="3" fillId="6" borderId="1" xfId="5" applyFont="1" applyFill="1" applyBorder="1" applyAlignment="1" applyProtection="1">
      <alignment horizontal="center" vertical="center" wrapText="1"/>
      <protection hidden="1"/>
    </xf>
    <xf numFmtId="0" fontId="3" fillId="7" borderId="1" xfId="5" applyFont="1" applyFill="1" applyBorder="1" applyAlignment="1" applyProtection="1">
      <alignment horizontal="center" vertical="center" wrapText="1"/>
      <protection hidden="1"/>
    </xf>
    <xf numFmtId="0" fontId="3" fillId="8" borderId="1" xfId="5" applyFont="1" applyFill="1" applyBorder="1" applyAlignment="1">
      <alignment horizontal="center" vertical="center" wrapText="1"/>
    </xf>
    <xf numFmtId="0" fontId="3" fillId="9" borderId="1" xfId="5" applyFont="1" applyFill="1" applyBorder="1" applyAlignment="1" applyProtection="1">
      <alignment horizontal="center" vertical="center" wrapText="1"/>
      <protection hidden="1"/>
    </xf>
    <xf numFmtId="0" fontId="6" fillId="10" borderId="1" xfId="5" applyFont="1" applyFill="1" applyBorder="1" applyAlignment="1">
      <alignment horizontal="center" vertical="center" wrapText="1"/>
    </xf>
    <xf numFmtId="43" fontId="6" fillId="10" borderId="1" xfId="6" applyFont="1" applyFill="1" applyBorder="1" applyAlignment="1">
      <alignment horizontal="center" vertical="center" wrapText="1"/>
    </xf>
    <xf numFmtId="165" fontId="3" fillId="11" borderId="1" xfId="1" applyFont="1" applyFill="1" applyBorder="1" applyAlignment="1">
      <alignment horizontal="center" vertical="center" wrapText="1"/>
    </xf>
    <xf numFmtId="165" fontId="3" fillId="11" borderId="3" xfId="1" applyFont="1" applyFill="1" applyBorder="1" applyAlignment="1">
      <alignment horizontal="center" vertical="center" wrapText="1"/>
    </xf>
    <xf numFmtId="165" fontId="6" fillId="10" borderId="1" xfId="1" applyFont="1" applyFill="1" applyBorder="1" applyAlignment="1">
      <alignment horizontal="center" vertical="center" wrapText="1"/>
    </xf>
    <xf numFmtId="165" fontId="3" fillId="12" borderId="1" xfId="1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3" fillId="3" borderId="1" xfId="4" applyFont="1" applyFill="1" applyBorder="1" applyAlignment="1" applyProtection="1">
      <alignment horizontal="center" vertical="center" wrapText="1"/>
      <protection hidden="1"/>
    </xf>
    <xf numFmtId="10" fontId="3" fillId="8" borderId="1" xfId="5" applyNumberFormat="1" applyFont="1" applyFill="1" applyBorder="1" applyAlignment="1">
      <alignment horizontal="center" vertical="center" wrapText="1"/>
    </xf>
    <xf numFmtId="0" fontId="3" fillId="8" borderId="1" xfId="5" applyFont="1" applyFill="1" applyBorder="1" applyAlignment="1">
      <alignment horizontal="center" vertical="center" wrapText="1"/>
    </xf>
    <xf numFmtId="0" fontId="3" fillId="9" borderId="1" xfId="5" applyFont="1" applyFill="1" applyBorder="1" applyAlignment="1" applyProtection="1">
      <alignment horizontal="center" vertical="center" wrapText="1"/>
      <protection hidden="1"/>
    </xf>
    <xf numFmtId="165" fontId="3" fillId="11" borderId="4" xfId="1" applyFont="1" applyFill="1" applyBorder="1" applyAlignment="1">
      <alignment horizontal="center" vertical="center" wrapText="1"/>
    </xf>
    <xf numFmtId="0" fontId="8" fillId="0" borderId="1" xfId="3" applyFont="1" applyBorder="1" applyAlignment="1">
      <alignment vertical="center"/>
    </xf>
    <xf numFmtId="0" fontId="8" fillId="0" borderId="2" xfId="3" applyFont="1" applyBorder="1" applyAlignment="1">
      <alignment vertical="center"/>
    </xf>
    <xf numFmtId="0" fontId="9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164" fontId="8" fillId="0" borderId="1" xfId="3" applyNumberFormat="1" applyFont="1" applyBorder="1" applyAlignment="1">
      <alignment horizontal="center" vertical="center"/>
    </xf>
    <xf numFmtId="164" fontId="8" fillId="0" borderId="1" xfId="3" applyNumberFormat="1" applyFont="1" applyBorder="1" applyAlignment="1">
      <alignment horizontal="center" vertical="center" wrapText="1"/>
    </xf>
    <xf numFmtId="1" fontId="8" fillId="0" borderId="1" xfId="3" applyNumberFormat="1" applyFont="1" applyBorder="1" applyAlignment="1">
      <alignment horizontal="center" vertical="center"/>
    </xf>
    <xf numFmtId="43" fontId="8" fillId="0" borderId="1" xfId="6" applyFont="1" applyFill="1" applyBorder="1" applyAlignment="1">
      <alignment horizontal="center" vertical="center"/>
    </xf>
    <xf numFmtId="10" fontId="8" fillId="0" borderId="1" xfId="2" applyNumberFormat="1" applyFont="1" applyFill="1" applyBorder="1" applyAlignment="1">
      <alignment horizontal="center" vertical="center"/>
    </xf>
    <xf numFmtId="164" fontId="8" fillId="0" borderId="1" xfId="6" applyNumberFormat="1" applyFont="1" applyFill="1" applyBorder="1" applyAlignment="1">
      <alignment horizontal="center" vertical="center"/>
    </xf>
    <xf numFmtId="43" fontId="3" fillId="0" borderId="1" xfId="6" applyFont="1" applyFill="1" applyBorder="1" applyAlignment="1">
      <alignment horizontal="center" vertical="center"/>
    </xf>
    <xf numFmtId="165" fontId="8" fillId="0" borderId="1" xfId="1" applyFont="1" applyFill="1" applyBorder="1" applyAlignment="1">
      <alignment vertical="center"/>
    </xf>
    <xf numFmtId="43" fontId="8" fillId="0" borderId="1" xfId="3" applyNumberFormat="1" applyFont="1" applyBorder="1" applyAlignment="1">
      <alignment vertical="center"/>
    </xf>
    <xf numFmtId="2" fontId="8" fillId="0" borderId="0" xfId="3" applyNumberFormat="1" applyFont="1" applyAlignment="1">
      <alignment vertical="center"/>
    </xf>
    <xf numFmtId="165" fontId="8" fillId="0" borderId="0" xfId="1" applyFont="1" applyFill="1" applyAlignment="1">
      <alignment vertical="center"/>
    </xf>
    <xf numFmtId="43" fontId="8" fillId="0" borderId="0" xfId="3" applyNumberFormat="1" applyFont="1" applyAlignment="1">
      <alignment vertical="center"/>
    </xf>
    <xf numFmtId="166" fontId="8" fillId="0" borderId="0" xfId="3" applyNumberFormat="1" applyFont="1" applyAlignment="1">
      <alignment vertical="center"/>
    </xf>
    <xf numFmtId="0" fontId="8" fillId="0" borderId="0" xfId="3" applyFont="1" applyAlignment="1">
      <alignment vertical="center"/>
    </xf>
    <xf numFmtId="0" fontId="9" fillId="13" borderId="0" xfId="3" applyFont="1" applyFill="1" applyAlignment="1">
      <alignment horizontal="center" vertical="center"/>
    </xf>
    <xf numFmtId="164" fontId="8" fillId="0" borderId="0" xfId="3" applyNumberFormat="1" applyFont="1" applyAlignment="1">
      <alignment horizontal="center" vertical="center"/>
    </xf>
    <xf numFmtId="10" fontId="8" fillId="0" borderId="0" xfId="3" applyNumberFormat="1" applyFont="1" applyAlignment="1">
      <alignment vertical="center"/>
    </xf>
    <xf numFmtId="43" fontId="6" fillId="0" borderId="0" xfId="6" applyFont="1" applyFill="1" applyAlignment="1">
      <alignment vertical="center"/>
    </xf>
    <xf numFmtId="0" fontId="10" fillId="0" borderId="0" xfId="3" applyFont="1" applyAlignment="1">
      <alignment vertical="center"/>
    </xf>
    <xf numFmtId="165" fontId="8" fillId="0" borderId="0" xfId="1" applyFont="1" applyAlignment="1">
      <alignment vertical="center"/>
    </xf>
    <xf numFmtId="0" fontId="8" fillId="0" borderId="0" xfId="3" applyFont="1" applyAlignment="1">
      <alignment vertical="center" wrapText="1"/>
    </xf>
    <xf numFmtId="43" fontId="3" fillId="0" borderId="0" xfId="6" applyFont="1" applyFill="1" applyAlignment="1">
      <alignment vertical="center"/>
    </xf>
    <xf numFmtId="0" fontId="8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0" fontId="11" fillId="0" borderId="0" xfId="3" applyFont="1" applyAlignment="1">
      <alignment horizontal="center" vertical="center"/>
    </xf>
    <xf numFmtId="2" fontId="11" fillId="0" borderId="0" xfId="3" applyNumberFormat="1" applyFont="1" applyAlignment="1">
      <alignment vertical="center"/>
    </xf>
    <xf numFmtId="0" fontId="11" fillId="0" borderId="0" xfId="3" applyFont="1" applyAlignment="1">
      <alignment vertical="center"/>
    </xf>
  </cellXfs>
  <cellStyles count="7">
    <cellStyle name="Normal" xfId="0" builtinId="0"/>
    <cellStyle name="Normal 3" xfId="5" xr:uid="{CAB2123E-0226-4407-B3BE-F8AD03C6C01A}"/>
    <cellStyle name="Normal 4" xfId="4" xr:uid="{222FCBEF-5004-4C61-BBAD-B351EBDD688B}"/>
    <cellStyle name="Normal 9" xfId="3" xr:uid="{E5D0DDCE-3D75-4CC6-ADAF-02261BBD9CAE}"/>
    <cellStyle name="Porcentagem" xfId="2" builtinId="5"/>
    <cellStyle name="Vírgula" xfId="1" builtinId="3"/>
    <cellStyle name="Vírgula 3" xfId="6" xr:uid="{8D582EEC-281A-4C5C-8564-E2665767B8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ownloads/Anexos%203&#186;%20TA%20%20sem%20ISSQN%20-%20VP.xlsx" TargetMode="External"/><Relationship Id="rId2" Type="http://schemas.openxmlformats.org/officeDocument/2006/relationships/externalLinkPath" Target="file:///C:\Users\x12149621\Downloads\Anexos%203&#186;%20TA%20%20sem%20ISSQN%20-%20VP.xlsx" TargetMode="External"/><Relationship Id="rId1" Type="http://schemas.openxmlformats.org/officeDocument/2006/relationships/externalLinkPath" Target="/Users/x12149621/Downloads/Anexos%203&#186;%20TA%20%20sem%20ISSQN%20-%20V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poio_Prec_Folha"/>
      <sheetName val="apoio_cód catmas"/>
      <sheetName val="apoio_pricing"/>
      <sheetName val="apoio_Preços_MGS"/>
      <sheetName val="AJUSTE NOMENCLATURA POSTOS"/>
      <sheetName val="apoio_postos vigentes"/>
      <sheetName val="Planilha1"/>
      <sheetName val="Planilha2"/>
      <sheetName val="I.Anexo A "/>
      <sheetName val="II. Eventos"/>
      <sheetName val="III. Unifomes"/>
      <sheetName val="IV. EPIs"/>
      <sheetName val="V. FG"/>
      <sheetName val="VI. Insalubridades"/>
      <sheetName val="VII. Diária de Viagem"/>
      <sheetName val="VIII. HE, Sob.aviso e Ac. Fu."/>
      <sheetName val="IX. Sindicatos"/>
      <sheetName val="X. Substituições"/>
      <sheetName val="XI. Anuentes"/>
      <sheetName val="XII. Descritivo de Atribuições"/>
      <sheetName val="XIII. Resumo"/>
    </sheetNames>
    <sheetDataSet>
      <sheetData sheetId="0">
        <row r="1">
          <cell r="H1">
            <v>150</v>
          </cell>
          <cell r="J1">
            <v>180</v>
          </cell>
          <cell r="L1">
            <v>200</v>
          </cell>
          <cell r="N1">
            <v>220</v>
          </cell>
          <cell r="P1">
            <v>100</v>
          </cell>
          <cell r="R1">
            <v>110</v>
          </cell>
        </row>
        <row r="2">
          <cell r="A2" t="str">
            <v>Rótulos de Linha</v>
          </cell>
          <cell r="B2" t="str">
            <v>QTD MATRÍCULAS</v>
          </cell>
          <cell r="C2" t="str">
            <v>SALÁRIO JORNADA MÁXIMA</v>
          </cell>
          <cell r="D2" t="str">
            <v>VT - MÉDIA EMPRESA</v>
          </cell>
          <cell r="E2" t="str">
            <v>VT - MÉDIA COMPRA</v>
          </cell>
          <cell r="F2" t="str">
            <v>VT - MÉDIA PARTICIPAÇÃO</v>
          </cell>
          <cell r="G2" t="str">
            <v>VA - MÉDIA EMPRESA</v>
          </cell>
          <cell r="H2" t="str">
            <v>Salário 150</v>
          </cell>
          <cell r="I2" t="str">
            <v xml:space="preserve">Vt Empresa </v>
          </cell>
          <cell r="J2" t="str">
            <v>Salário 180</v>
          </cell>
          <cell r="K2" t="str">
            <v xml:space="preserve">Vt Empresa </v>
          </cell>
          <cell r="L2" t="str">
            <v>Salário 200</v>
          </cell>
          <cell r="M2" t="str">
            <v xml:space="preserve">Vt Empresa </v>
          </cell>
          <cell r="N2" t="str">
            <v>Salário 220</v>
          </cell>
          <cell r="O2" t="str">
            <v xml:space="preserve">Vt Empresa </v>
          </cell>
          <cell r="P2" t="str">
            <v>Salário 100</v>
          </cell>
          <cell r="Q2" t="str">
            <v xml:space="preserve">Vt Empresa </v>
          </cell>
          <cell r="R2" t="str">
            <v>Salário 110</v>
          </cell>
          <cell r="S2" t="str">
            <v xml:space="preserve">Vt Empresa </v>
          </cell>
        </row>
        <row r="3">
          <cell r="A3" t="str">
            <v>AGENTE DE CAMPO</v>
          </cell>
          <cell r="B3">
            <v>4</v>
          </cell>
          <cell r="C3">
            <v>2335.0742064374999</v>
          </cell>
          <cell r="D3">
            <v>134.9</v>
          </cell>
          <cell r="E3">
            <v>275</v>
          </cell>
          <cell r="F3">
            <v>140.1</v>
          </cell>
          <cell r="G3">
            <v>517.92000000000007</v>
          </cell>
          <cell r="H3">
            <v>1592.0960498437501</v>
          </cell>
          <cell r="I3">
            <v>179.47727272727272</v>
          </cell>
          <cell r="J3">
            <v>1910.5152598125001</v>
          </cell>
          <cell r="K3">
            <v>160.37272727272727</v>
          </cell>
          <cell r="L3">
            <v>2122.7947331250002</v>
          </cell>
          <cell r="M3">
            <v>147.63636363636363</v>
          </cell>
          <cell r="N3">
            <v>2335.0742064374999</v>
          </cell>
          <cell r="O3">
            <v>134.9</v>
          </cell>
          <cell r="P3">
            <v>1061.3973665625001</v>
          </cell>
          <cell r="Q3">
            <v>211.31818181818181</v>
          </cell>
          <cell r="R3">
            <v>1167.53710321875</v>
          </cell>
          <cell r="S3">
            <v>204.95</v>
          </cell>
        </row>
        <row r="4">
          <cell r="A4" t="str">
            <v>AGENTE DE SERVIÇO DE PARQUE HABILITADO</v>
          </cell>
          <cell r="B4">
            <v>242</v>
          </cell>
          <cell r="C4">
            <v>2150.6883989049652</v>
          </cell>
          <cell r="D4">
            <v>281.74150413223163</v>
          </cell>
          <cell r="E4">
            <v>377.48489256198354</v>
          </cell>
          <cell r="F4">
            <v>95.743388429752187</v>
          </cell>
          <cell r="G4">
            <v>549.35454545454672</v>
          </cell>
          <cell r="H4">
            <v>1466.3784537988399</v>
          </cell>
          <cell r="I4">
            <v>312.20530954169794</v>
          </cell>
          <cell r="J4">
            <v>1759.6541445586079</v>
          </cell>
          <cell r="K4">
            <v>299.14939293764087</v>
          </cell>
          <cell r="L4">
            <v>1955.1712717317866</v>
          </cell>
          <cell r="M4">
            <v>290.44544853493608</v>
          </cell>
          <cell r="N4">
            <v>2150.6883989049652</v>
          </cell>
          <cell r="O4">
            <v>281.74150413223134</v>
          </cell>
          <cell r="P4">
            <v>977.58563586589332</v>
          </cell>
          <cell r="Q4">
            <v>333.96517054845981</v>
          </cell>
          <cell r="R4">
            <v>1075.3441994524826</v>
          </cell>
          <cell r="S4">
            <v>329.61319834710747</v>
          </cell>
        </row>
        <row r="5">
          <cell r="A5" t="str">
            <v>ANALISTA ESPECIALIZADO EM CIÊNCIAS EXATAS E DA TERRA I</v>
          </cell>
          <cell r="B5">
            <v>86</v>
          </cell>
          <cell r="C5">
            <v>5698.5267945930245</v>
          </cell>
          <cell r="D5">
            <v>42.051344186046506</v>
          </cell>
          <cell r="E5">
            <v>148.79560465116276</v>
          </cell>
          <cell r="F5">
            <v>106.74426046511628</v>
          </cell>
          <cell r="G5">
            <v>542.04488372092999</v>
          </cell>
          <cell r="H5">
            <v>3885.3591781316077</v>
          </cell>
          <cell r="I5">
            <v>76.015427061310746</v>
          </cell>
          <cell r="J5">
            <v>4662.4310137579287</v>
          </cell>
          <cell r="K5">
            <v>61.459391543340345</v>
          </cell>
          <cell r="L5">
            <v>5180.4789041754766</v>
          </cell>
          <cell r="M5">
            <v>51.755367864693412</v>
          </cell>
          <cell r="N5">
            <v>5698.5267945930245</v>
          </cell>
          <cell r="O5">
            <v>42.051344186046478</v>
          </cell>
          <cell r="P5">
            <v>2590.2394520877383</v>
          </cell>
          <cell r="Q5">
            <v>100.27548625792809</v>
          </cell>
          <cell r="R5">
            <v>2849.2633972965123</v>
          </cell>
          <cell r="S5">
            <v>95.423474418604627</v>
          </cell>
        </row>
        <row r="6">
          <cell r="A6" t="str">
            <v>ANALISTA ESPECIALIZADO EM CIÊNCIAS HUMANAS</v>
          </cell>
          <cell r="B6">
            <v>63</v>
          </cell>
          <cell r="C6">
            <v>4578.4021811284138</v>
          </cell>
          <cell r="D6">
            <v>85.980634920634913</v>
          </cell>
          <cell r="E6">
            <v>199.57841269841265</v>
          </cell>
          <cell r="F6">
            <v>113.59777777777781</v>
          </cell>
          <cell r="G6">
            <v>545.99857142857229</v>
          </cell>
          <cell r="H6">
            <v>3121.637850769373</v>
          </cell>
          <cell r="I6">
            <v>122.12538239538233</v>
          </cell>
          <cell r="J6">
            <v>3745.9654209232476</v>
          </cell>
          <cell r="K6">
            <v>106.63477633477626</v>
          </cell>
          <cell r="L6">
            <v>4162.1838010258307</v>
          </cell>
          <cell r="M6">
            <v>96.307705627705559</v>
          </cell>
          <cell r="N6">
            <v>4578.4021811284138</v>
          </cell>
          <cell r="O6">
            <v>85.980634920634856</v>
          </cell>
          <cell r="P6">
            <v>2081.0919005129153</v>
          </cell>
          <cell r="Q6">
            <v>147.9430591630591</v>
          </cell>
          <cell r="R6">
            <v>2289.2010905642069</v>
          </cell>
          <cell r="S6">
            <v>142.77952380952377</v>
          </cell>
        </row>
        <row r="7">
          <cell r="A7" t="str">
            <v>ANALISTA ESPECIALIZADO EM CIÊNCIAS SOCIAIS APLICADAS I</v>
          </cell>
          <cell r="B7">
            <v>207</v>
          </cell>
          <cell r="C7">
            <v>5744.9626630434614</v>
          </cell>
          <cell r="D7">
            <v>48.716094685990335</v>
          </cell>
          <cell r="E7">
            <v>159.03768115942034</v>
          </cell>
          <cell r="F7">
            <v>110.32158647342999</v>
          </cell>
          <cell r="G7">
            <v>551.58000000000152</v>
          </cell>
          <cell r="H7">
            <v>3917.0199975296327</v>
          </cell>
          <cell r="I7">
            <v>83.818417654808997</v>
          </cell>
          <cell r="J7">
            <v>4700.4239970355593</v>
          </cell>
          <cell r="K7">
            <v>68.774564953886724</v>
          </cell>
          <cell r="L7">
            <v>5222.6933300395103</v>
          </cell>
          <cell r="M7">
            <v>58.745329819938547</v>
          </cell>
          <cell r="N7">
            <v>5744.9626630434614</v>
          </cell>
          <cell r="O7">
            <v>48.71609468599037</v>
          </cell>
          <cell r="P7">
            <v>2611.3466650197552</v>
          </cell>
          <cell r="Q7">
            <v>108.89150548967945</v>
          </cell>
          <cell r="R7">
            <v>2872.4813315217307</v>
          </cell>
          <cell r="S7">
            <v>103.87688792270535</v>
          </cell>
        </row>
        <row r="8">
          <cell r="A8" t="str">
            <v>ANALISTA ESPECIALIZADO EM CIÊNCIAS SOCIAIS APLICADAS II</v>
          </cell>
          <cell r="B8">
            <v>13</v>
          </cell>
          <cell r="C8">
            <v>4631.8243019230758</v>
          </cell>
          <cell r="D8">
            <v>77.987692307692299</v>
          </cell>
          <cell r="E8">
            <v>257.46769230769229</v>
          </cell>
          <cell r="F8">
            <v>179.48</v>
          </cell>
          <cell r="G8">
            <v>551.58000000000004</v>
          </cell>
          <cell r="H8">
            <v>3158.0620240384605</v>
          </cell>
          <cell r="I8">
            <v>135.09496503496501</v>
          </cell>
          <cell r="J8">
            <v>3789.6744288461528</v>
          </cell>
          <cell r="K8">
            <v>110.62041958041956</v>
          </cell>
          <cell r="L8">
            <v>4210.7493653846141</v>
          </cell>
          <cell r="M8">
            <v>94.304055944055932</v>
          </cell>
          <cell r="N8">
            <v>4631.8243019230758</v>
          </cell>
          <cell r="O8">
            <v>77.987692307692299</v>
          </cell>
          <cell r="P8">
            <v>2105.374682692307</v>
          </cell>
          <cell r="Q8">
            <v>175.88587412587412</v>
          </cell>
          <cell r="R8">
            <v>2315.9121509615379</v>
          </cell>
          <cell r="S8">
            <v>167.72769230769228</v>
          </cell>
        </row>
        <row r="9">
          <cell r="A9" t="str">
            <v>ANALISTA ESPECIALIZADO EM INFRAESTRUTURA</v>
          </cell>
          <cell r="B9">
            <v>278</v>
          </cell>
          <cell r="C9">
            <v>13434.981548974787</v>
          </cell>
          <cell r="D9">
            <v>1.068345323741017E-2</v>
          </cell>
          <cell r="E9">
            <v>8.0244604316546777</v>
          </cell>
          <cell r="F9">
            <v>8.0137769784172654</v>
          </cell>
          <cell r="G9">
            <v>511.10057553956591</v>
          </cell>
          <cell r="H9">
            <v>9483.5163875116141</v>
          </cell>
          <cell r="I9">
            <v>0.73920863309352747</v>
          </cell>
          <cell r="J9">
            <v>9483.5163875116141</v>
          </cell>
          <cell r="K9">
            <v>0.73920863309352747</v>
          </cell>
          <cell r="L9">
            <v>12213.619589977079</v>
          </cell>
          <cell r="M9">
            <v>0.73920863309352747</v>
          </cell>
          <cell r="N9">
            <v>12213.619589977079</v>
          </cell>
          <cell r="O9">
            <v>1.0683453237412266E-2</v>
          </cell>
          <cell r="P9">
            <v>0</v>
          </cell>
          <cell r="Q9">
            <v>0.73920863309352747</v>
          </cell>
          <cell r="R9">
            <v>0</v>
          </cell>
          <cell r="S9">
            <v>0.73920863309352747</v>
          </cell>
        </row>
        <row r="10">
          <cell r="A10" t="str">
            <v>ANALISTA ESPECIALIZADO EM SAÚDE E MEIO AMBIENTE I</v>
          </cell>
          <cell r="B10">
            <v>44</v>
          </cell>
          <cell r="C10">
            <v>7120.3389960227278</v>
          </cell>
          <cell r="D10">
            <v>39.256136363636365</v>
          </cell>
          <cell r="E10">
            <v>96.580000000000013</v>
          </cell>
          <cell r="F10">
            <v>57.323863636363647</v>
          </cell>
          <cell r="G10">
            <v>548.52000000000055</v>
          </cell>
          <cell r="H10">
            <v>4854.7765881973146</v>
          </cell>
          <cell r="I10">
            <v>57.495547520661162</v>
          </cell>
          <cell r="J10">
            <v>5825.7319058367775</v>
          </cell>
          <cell r="K10">
            <v>49.678657024793395</v>
          </cell>
          <cell r="L10">
            <v>6473.0354509297531</v>
          </cell>
          <cell r="M10">
            <v>44.467396694214884</v>
          </cell>
          <cell r="N10">
            <v>7120.3389960227278</v>
          </cell>
          <cell r="O10">
            <v>39.256136363636365</v>
          </cell>
          <cell r="P10">
            <v>3236.5177254648765</v>
          </cell>
          <cell r="Q10">
            <v>70.523698347107455</v>
          </cell>
          <cell r="R10">
            <v>3560.1694980113639</v>
          </cell>
          <cell r="S10">
            <v>67.918068181818185</v>
          </cell>
        </row>
        <row r="11">
          <cell r="A11" t="str">
            <v>ANALISTA ESPECIALIZADO EM SAÚDE E MEIO AMBIENTE II</v>
          </cell>
          <cell r="B11">
            <v>21</v>
          </cell>
          <cell r="C11">
            <v>4008.9942750000005</v>
          </cell>
          <cell r="D11">
            <v>57.059047619047632</v>
          </cell>
          <cell r="E11">
            <v>113.35238095238095</v>
          </cell>
          <cell r="F11">
            <v>56.293333333333329</v>
          </cell>
          <cell r="G11">
            <v>551.58000000000004</v>
          </cell>
          <cell r="H11">
            <v>2733.4051875000005</v>
          </cell>
          <cell r="I11">
            <v>74.970562770562765</v>
          </cell>
          <cell r="J11">
            <v>3280.0862250000005</v>
          </cell>
          <cell r="K11">
            <v>67.294199134199147</v>
          </cell>
          <cell r="L11">
            <v>3644.5402500000009</v>
          </cell>
          <cell r="M11">
            <v>62.176623376623382</v>
          </cell>
          <cell r="N11">
            <v>4008.9942750000009</v>
          </cell>
          <cell r="O11">
            <v>57.059047619047625</v>
          </cell>
          <cell r="P11">
            <v>1822.2701250000005</v>
          </cell>
          <cell r="Q11">
            <v>87.764502164502176</v>
          </cell>
          <cell r="R11">
            <v>2004.4971375000005</v>
          </cell>
          <cell r="S11">
            <v>85.205714285714294</v>
          </cell>
        </row>
        <row r="12">
          <cell r="A12" t="str">
            <v>ANALISTA ESPECIALIZADO EM SAÚDE E MEIO AMBIENTE III</v>
          </cell>
          <cell r="B12">
            <v>2</v>
          </cell>
          <cell r="C12">
            <v>14136.811150000001</v>
          </cell>
          <cell r="D12">
            <v>0</v>
          </cell>
          <cell r="E12">
            <v>550</v>
          </cell>
          <cell r="F12">
            <v>550</v>
          </cell>
          <cell r="G12">
            <v>551.58000000000004</v>
          </cell>
          <cell r="H12">
            <v>12851.646500000001</v>
          </cell>
          <cell r="I12">
            <v>0</v>
          </cell>
          <cell r="J12">
            <v>12851.646500000001</v>
          </cell>
          <cell r="K12">
            <v>0</v>
          </cell>
          <cell r="L12">
            <v>12851.646500000001</v>
          </cell>
          <cell r="M12">
            <v>0</v>
          </cell>
          <cell r="N12">
            <v>12851.646500000001</v>
          </cell>
          <cell r="O12">
            <v>0</v>
          </cell>
          <cell r="P12">
            <v>12851.646500000001</v>
          </cell>
          <cell r="Q12">
            <v>0</v>
          </cell>
          <cell r="R12">
            <v>12851.646500000001</v>
          </cell>
          <cell r="S12">
            <v>0</v>
          </cell>
        </row>
        <row r="13">
          <cell r="A13" t="str">
            <v>ANALISTA ESPECIALIZADO EM SAÚDE E MEIO AMBIENTE IV</v>
          </cell>
          <cell r="B13">
            <v>1</v>
          </cell>
          <cell r="C13">
            <v>15646.521000000001</v>
          </cell>
          <cell r="D13">
            <v>0</v>
          </cell>
          <cell r="E13">
            <v>550</v>
          </cell>
          <cell r="F13">
            <v>550</v>
          </cell>
          <cell r="G13">
            <v>551.58000000000004</v>
          </cell>
          <cell r="H13">
            <v>14224.110000000002</v>
          </cell>
          <cell r="I13">
            <v>0</v>
          </cell>
          <cell r="J13">
            <v>14224.110000000002</v>
          </cell>
          <cell r="K13">
            <v>0</v>
          </cell>
          <cell r="L13">
            <v>14224.110000000002</v>
          </cell>
          <cell r="M13">
            <v>0</v>
          </cell>
          <cell r="N13">
            <v>14224.110000000002</v>
          </cell>
          <cell r="O13">
            <v>0</v>
          </cell>
          <cell r="P13">
            <v>14224.110000000002</v>
          </cell>
          <cell r="Q13">
            <v>0</v>
          </cell>
          <cell r="R13">
            <v>14224.110000000002</v>
          </cell>
          <cell r="S13">
            <v>0</v>
          </cell>
        </row>
        <row r="14">
          <cell r="A14" t="str">
            <v>ANALISTA ESPECIALIZADO EM SAÚDE E MEIO AMBIENTE V</v>
          </cell>
          <cell r="B14">
            <v>1</v>
          </cell>
          <cell r="C14">
            <v>24054.150999999998</v>
          </cell>
          <cell r="D14">
            <v>0</v>
          </cell>
          <cell r="E14">
            <v>550</v>
          </cell>
          <cell r="F14">
            <v>550</v>
          </cell>
          <cell r="G14">
            <v>551.58000000000004</v>
          </cell>
          <cell r="H14">
            <v>21867.41</v>
          </cell>
          <cell r="I14">
            <v>0</v>
          </cell>
          <cell r="J14">
            <v>21867.41</v>
          </cell>
          <cell r="K14">
            <v>0</v>
          </cell>
          <cell r="L14">
            <v>21867.41</v>
          </cell>
          <cell r="M14">
            <v>0</v>
          </cell>
          <cell r="N14">
            <v>21867.41</v>
          </cell>
          <cell r="O14">
            <v>0</v>
          </cell>
          <cell r="P14">
            <v>21867.41</v>
          </cell>
          <cell r="Q14">
            <v>0</v>
          </cell>
          <cell r="R14">
            <v>21867.41</v>
          </cell>
          <cell r="S14">
            <v>0</v>
          </cell>
        </row>
        <row r="15">
          <cell r="A15" t="str">
            <v>APOIO À MANUTENÇÃO VEICULAR</v>
          </cell>
          <cell r="B15">
            <v>2</v>
          </cell>
          <cell r="C15">
            <v>2855.5923750000002</v>
          </cell>
          <cell r="D15">
            <v>344.565</v>
          </cell>
          <cell r="E15">
            <v>515.9</v>
          </cell>
          <cell r="F15">
            <v>171.33499999999998</v>
          </cell>
          <cell r="G15">
            <v>551.58000000000004</v>
          </cell>
          <cell r="H15">
            <v>1946.9948011363638</v>
          </cell>
          <cell r="I15">
            <v>399.0806818181818</v>
          </cell>
          <cell r="J15">
            <v>2336.3937613636363</v>
          </cell>
          <cell r="K15">
            <v>375.71681818181821</v>
          </cell>
          <cell r="L15">
            <v>2595.9930681818182</v>
          </cell>
          <cell r="M15">
            <v>360.14090909090908</v>
          </cell>
          <cell r="N15">
            <v>2855.5923750000002</v>
          </cell>
          <cell r="O15">
            <v>344.565</v>
          </cell>
          <cell r="P15">
            <v>1297.9965340909091</v>
          </cell>
          <cell r="Q15">
            <v>438.02045454545453</v>
          </cell>
          <cell r="R15">
            <v>1427.7961875000001</v>
          </cell>
          <cell r="S15">
            <v>430.23249999999996</v>
          </cell>
        </row>
        <row r="16">
          <cell r="A16" t="str">
            <v>ARTESÃO</v>
          </cell>
          <cell r="B16">
            <v>1</v>
          </cell>
          <cell r="C16">
            <v>2294.7121999999999</v>
          </cell>
          <cell r="D16">
            <v>0</v>
          </cell>
          <cell r="E16">
            <v>0</v>
          </cell>
          <cell r="F16">
            <v>0</v>
          </cell>
          <cell r="G16">
            <v>551.58000000000004</v>
          </cell>
          <cell r="H16">
            <v>1564.5764999999999</v>
          </cell>
          <cell r="I16">
            <v>0</v>
          </cell>
          <cell r="J16">
            <v>1877.4918</v>
          </cell>
          <cell r="K16">
            <v>0</v>
          </cell>
          <cell r="L16">
            <v>2086.1019999999999</v>
          </cell>
          <cell r="M16">
            <v>0</v>
          </cell>
          <cell r="N16">
            <v>2294.7121999999999</v>
          </cell>
          <cell r="O16">
            <v>0</v>
          </cell>
          <cell r="P16">
            <v>1043.0509999999999</v>
          </cell>
          <cell r="Q16">
            <v>0</v>
          </cell>
          <cell r="R16">
            <v>1147.3561</v>
          </cell>
          <cell r="S16">
            <v>0</v>
          </cell>
        </row>
        <row r="17">
          <cell r="A17" t="str">
            <v>ASCENSORISTA</v>
          </cell>
          <cell r="B17">
            <v>18</v>
          </cell>
          <cell r="C17">
            <v>2456.0454925925919</v>
          </cell>
          <cell r="D17">
            <v>267.40222222222224</v>
          </cell>
          <cell r="E17">
            <v>397.79555555555555</v>
          </cell>
          <cell r="F17">
            <v>130.39333333333335</v>
          </cell>
          <cell r="G17">
            <v>551.58000000000004</v>
          </cell>
          <cell r="H17">
            <v>1674.5764722222216</v>
          </cell>
          <cell r="I17">
            <v>308.89101010101012</v>
          </cell>
          <cell r="J17">
            <v>2009.4917666666661</v>
          </cell>
          <cell r="K17">
            <v>291.110101010101</v>
          </cell>
          <cell r="L17">
            <v>2232.7686296296288</v>
          </cell>
          <cell r="M17">
            <v>279.25616161616159</v>
          </cell>
          <cell r="N17">
            <v>2456.0454925925919</v>
          </cell>
          <cell r="O17">
            <v>267.40222222222224</v>
          </cell>
          <cell r="P17">
            <v>1116.3843148148144</v>
          </cell>
          <cell r="Q17">
            <v>338.5258585858586</v>
          </cell>
          <cell r="R17">
            <v>1228.022746296296</v>
          </cell>
          <cell r="S17">
            <v>332.59888888888889</v>
          </cell>
        </row>
        <row r="18">
          <cell r="A18" t="str">
            <v>ASSESSOR ESTRATÉGICO</v>
          </cell>
          <cell r="B18">
            <v>1</v>
          </cell>
          <cell r="C18">
            <v>14136.811150000001</v>
          </cell>
          <cell r="D18">
            <v>0</v>
          </cell>
          <cell r="E18">
            <v>0</v>
          </cell>
          <cell r="F18">
            <v>0</v>
          </cell>
          <cell r="G18">
            <v>551.58000000000004</v>
          </cell>
          <cell r="H18">
            <v>12851.646500000001</v>
          </cell>
          <cell r="I18">
            <v>0</v>
          </cell>
          <cell r="J18">
            <v>12851.646500000001</v>
          </cell>
          <cell r="K18">
            <v>0</v>
          </cell>
          <cell r="L18">
            <v>12851.646500000001</v>
          </cell>
          <cell r="M18">
            <v>0</v>
          </cell>
          <cell r="N18">
            <v>12851.646500000001</v>
          </cell>
          <cell r="O18">
            <v>0</v>
          </cell>
          <cell r="P18">
            <v>12851.646500000001</v>
          </cell>
          <cell r="Q18">
            <v>0</v>
          </cell>
          <cell r="R18">
            <v>12851.646500000001</v>
          </cell>
          <cell r="S18">
            <v>0</v>
          </cell>
        </row>
        <row r="19">
          <cell r="A19" t="str">
            <v>ASSESSOR ESTRATÉGICO II</v>
          </cell>
          <cell r="B19">
            <v>30</v>
          </cell>
          <cell r="C19">
            <v>15610.133467500007</v>
          </cell>
          <cell r="D19">
            <v>0</v>
          </cell>
          <cell r="E19">
            <v>23.1</v>
          </cell>
          <cell r="F19">
            <v>23.1</v>
          </cell>
          <cell r="G19">
            <v>550.29533333333336</v>
          </cell>
          <cell r="H19">
            <v>14191.030425000004</v>
          </cell>
          <cell r="I19">
            <v>0</v>
          </cell>
          <cell r="J19">
            <v>14191.030425000004</v>
          </cell>
          <cell r="K19">
            <v>0</v>
          </cell>
          <cell r="L19">
            <v>14191.030425000004</v>
          </cell>
          <cell r="M19">
            <v>0</v>
          </cell>
          <cell r="N19">
            <v>14191.030425000004</v>
          </cell>
          <cell r="O19">
            <v>0</v>
          </cell>
          <cell r="P19">
            <v>14191.030425000004</v>
          </cell>
          <cell r="Q19">
            <v>0</v>
          </cell>
          <cell r="R19">
            <v>14191.030425000004</v>
          </cell>
          <cell r="S19">
            <v>0</v>
          </cell>
        </row>
        <row r="20">
          <cell r="A20" t="str">
            <v>ASSESSOR ORGANIZACIONAL</v>
          </cell>
          <cell r="B20">
            <v>5</v>
          </cell>
          <cell r="C20">
            <v>11899.686699999998</v>
          </cell>
          <cell r="D20">
            <v>0</v>
          </cell>
          <cell r="E20">
            <v>0</v>
          </cell>
          <cell r="F20">
            <v>0</v>
          </cell>
          <cell r="G20">
            <v>551.58000000000004</v>
          </cell>
          <cell r="H20">
            <v>10817.896999999997</v>
          </cell>
          <cell r="I20">
            <v>0</v>
          </cell>
          <cell r="J20">
            <v>10817.896999999997</v>
          </cell>
          <cell r="K20">
            <v>0</v>
          </cell>
          <cell r="L20">
            <v>10817.896999999997</v>
          </cell>
          <cell r="M20">
            <v>0</v>
          </cell>
          <cell r="N20">
            <v>10817.896999999997</v>
          </cell>
          <cell r="O20">
            <v>0</v>
          </cell>
          <cell r="P20">
            <v>10817.896999999997</v>
          </cell>
          <cell r="Q20">
            <v>0</v>
          </cell>
          <cell r="R20">
            <v>10817.896999999997</v>
          </cell>
          <cell r="S20">
            <v>0</v>
          </cell>
        </row>
        <row r="21">
          <cell r="A21" t="str">
            <v>ASSESSOR ORGANIZACIONAL II</v>
          </cell>
          <cell r="B21">
            <v>58</v>
          </cell>
          <cell r="C21">
            <v>10443.565676293105</v>
          </cell>
          <cell r="D21">
            <v>0</v>
          </cell>
          <cell r="E21">
            <v>18.646896551724137</v>
          </cell>
          <cell r="F21">
            <v>18.646896551724137</v>
          </cell>
          <cell r="G21">
            <v>551.58000000000084</v>
          </cell>
          <cell r="H21">
            <v>9494.1506148119133</v>
          </cell>
          <cell r="I21">
            <v>0</v>
          </cell>
          <cell r="J21">
            <v>9494.1506148119133</v>
          </cell>
          <cell r="K21">
            <v>0</v>
          </cell>
          <cell r="L21">
            <v>9494.1506148119133</v>
          </cell>
          <cell r="M21">
            <v>0</v>
          </cell>
          <cell r="N21">
            <v>9494.1506148119133</v>
          </cell>
          <cell r="O21">
            <v>0</v>
          </cell>
          <cell r="P21">
            <v>9494.1506148119133</v>
          </cell>
          <cell r="Q21">
            <v>0</v>
          </cell>
          <cell r="R21">
            <v>9494.1506148119133</v>
          </cell>
          <cell r="S21">
            <v>0</v>
          </cell>
        </row>
        <row r="22">
          <cell r="A22" t="str">
            <v>ASSESSOR TÉCNICO</v>
          </cell>
          <cell r="B22">
            <v>22</v>
          </cell>
          <cell r="C22">
            <v>7925.9160072225022</v>
          </cell>
          <cell r="D22">
            <v>10.912727272727272</v>
          </cell>
          <cell r="E22">
            <v>54.5</v>
          </cell>
          <cell r="F22">
            <v>43.587272727272733</v>
          </cell>
          <cell r="G22">
            <v>550.48409090909092</v>
          </cell>
          <cell r="H22">
            <v>7205.3781883840929</v>
          </cell>
          <cell r="I22">
            <v>14.875206611570242</v>
          </cell>
          <cell r="J22">
            <v>7205.3781883840929</v>
          </cell>
          <cell r="K22">
            <v>14.875206611570242</v>
          </cell>
          <cell r="L22">
            <v>7205.3781883840929</v>
          </cell>
          <cell r="M22">
            <v>14.875206611570242</v>
          </cell>
          <cell r="N22">
            <v>7205.3781883840929</v>
          </cell>
          <cell r="O22">
            <v>14.875206611570242</v>
          </cell>
          <cell r="P22">
            <v>7205.3781883840929</v>
          </cell>
          <cell r="Q22">
            <v>14.875206611570242</v>
          </cell>
          <cell r="R22">
            <v>7205.3781883840929</v>
          </cell>
          <cell r="S22">
            <v>14.875206611570242</v>
          </cell>
        </row>
        <row r="23">
          <cell r="A23" t="str">
            <v>ASSESSOR TÉCNICO II</v>
          </cell>
          <cell r="B23">
            <v>111</v>
          </cell>
          <cell r="C23">
            <v>6821.7683664414244</v>
          </cell>
          <cell r="D23">
            <v>11.932972972972971</v>
          </cell>
          <cell r="E23">
            <v>62.131171171171175</v>
          </cell>
          <cell r="F23">
            <v>50.198198198198206</v>
          </cell>
          <cell r="G23">
            <v>550.36702702702837</v>
          </cell>
          <cell r="H23">
            <v>6201.6076058558401</v>
          </cell>
          <cell r="I23">
            <v>16.496445536445535</v>
          </cell>
          <cell r="J23">
            <v>6201.6076058558401</v>
          </cell>
          <cell r="K23">
            <v>16.496445536445535</v>
          </cell>
          <cell r="L23">
            <v>6201.6076058558401</v>
          </cell>
          <cell r="M23">
            <v>16.496445536445535</v>
          </cell>
          <cell r="N23">
            <v>6201.6076058558401</v>
          </cell>
          <cell r="O23">
            <v>16.496445536445535</v>
          </cell>
          <cell r="P23">
            <v>6201.6076058558401</v>
          </cell>
          <cell r="Q23">
            <v>16.496445536445535</v>
          </cell>
          <cell r="R23">
            <v>6201.6076058558401</v>
          </cell>
          <cell r="S23">
            <v>16.496445536445535</v>
          </cell>
        </row>
        <row r="24">
          <cell r="A24" t="str">
            <v>ASSISTENTE ADMINISTRATIVO</v>
          </cell>
          <cell r="B24">
            <v>7</v>
          </cell>
          <cell r="C24">
            <v>6056.0557671428569</v>
          </cell>
          <cell r="D24">
            <v>61.670000000000016</v>
          </cell>
          <cell r="E24">
            <v>157.14285714285714</v>
          </cell>
          <cell r="F24">
            <v>95.472857142857137</v>
          </cell>
          <cell r="G24">
            <v>557.33857142857141</v>
          </cell>
          <cell r="H24">
            <v>5505.5052428571425</v>
          </cell>
          <cell r="I24">
            <v>70.349350649350654</v>
          </cell>
          <cell r="J24">
            <v>5505.5052428571425</v>
          </cell>
          <cell r="K24">
            <v>70.349350649350654</v>
          </cell>
          <cell r="L24">
            <v>5505.5052428571425</v>
          </cell>
          <cell r="M24">
            <v>70.349350649350654</v>
          </cell>
          <cell r="N24">
            <v>5505.5052428571425</v>
          </cell>
          <cell r="O24">
            <v>70.349350649350654</v>
          </cell>
          <cell r="P24">
            <v>5505.5052428571425</v>
          </cell>
          <cell r="Q24">
            <v>70.349350649350654</v>
          </cell>
          <cell r="R24">
            <v>5505.5052428571425</v>
          </cell>
          <cell r="S24">
            <v>70.349350649350654</v>
          </cell>
        </row>
        <row r="25">
          <cell r="A25" t="str">
            <v>ASSISTENTE ADMINISTRATIVO II</v>
          </cell>
          <cell r="B25">
            <v>91</v>
          </cell>
          <cell r="C25">
            <v>4832.7257628571451</v>
          </cell>
          <cell r="D25">
            <v>91.19505494505492</v>
          </cell>
          <cell r="E25">
            <v>227.57186813186811</v>
          </cell>
          <cell r="F25">
            <v>136.37681318681314</v>
          </cell>
          <cell r="G25">
            <v>558.2938461538472</v>
          </cell>
          <cell r="H25">
            <v>4393.3870571428588</v>
          </cell>
          <cell r="I25">
            <v>103.59294705294708</v>
          </cell>
          <cell r="J25">
            <v>4393.3870571428588</v>
          </cell>
          <cell r="K25">
            <v>103.59294705294708</v>
          </cell>
          <cell r="L25">
            <v>4393.3870571428588</v>
          </cell>
          <cell r="M25">
            <v>103.59294705294708</v>
          </cell>
          <cell r="N25">
            <v>4393.3870571428588</v>
          </cell>
          <cell r="O25">
            <v>103.59294705294708</v>
          </cell>
          <cell r="P25">
            <v>4393.3870571428588</v>
          </cell>
          <cell r="Q25">
            <v>103.59294705294708</v>
          </cell>
          <cell r="R25">
            <v>4393.3870571428588</v>
          </cell>
          <cell r="S25">
            <v>103.59294705294708</v>
          </cell>
        </row>
        <row r="26">
          <cell r="A26" t="str">
            <v>ASSISTENTE DE LOGÍSTICA</v>
          </cell>
          <cell r="B26">
            <v>110</v>
          </cell>
          <cell r="C26">
            <v>2540.3858688636356</v>
          </cell>
          <cell r="D26">
            <v>340.84801090909087</v>
          </cell>
          <cell r="E26">
            <v>450.82764727272729</v>
          </cell>
          <cell r="F26">
            <v>109.97963636363642</v>
          </cell>
          <cell r="G26">
            <v>550.35600000000125</v>
          </cell>
          <cell r="H26">
            <v>1732.0812742252062</v>
          </cell>
          <cell r="I26">
            <v>375.84153157024792</v>
          </cell>
          <cell r="J26">
            <v>2078.4975290702473</v>
          </cell>
          <cell r="K26">
            <v>360.84430842975206</v>
          </cell>
          <cell r="L26">
            <v>2309.4416989669417</v>
          </cell>
          <cell r="M26">
            <v>350.84615966942147</v>
          </cell>
          <cell r="N26">
            <v>2540.3858688636356</v>
          </cell>
          <cell r="O26">
            <v>340.84801090909087</v>
          </cell>
          <cell r="P26">
            <v>1154.7208494834708</v>
          </cell>
          <cell r="Q26">
            <v>400.83690347107438</v>
          </cell>
          <cell r="R26">
            <v>1270.1929344318178</v>
          </cell>
          <cell r="S26">
            <v>395.83782909090905</v>
          </cell>
        </row>
        <row r="27">
          <cell r="A27" t="str">
            <v>ASSISTENTE OPERACIONAL</v>
          </cell>
          <cell r="B27">
            <v>12</v>
          </cell>
          <cell r="C27">
            <v>3954.0100370833338</v>
          </cell>
          <cell r="D27">
            <v>101.77583333333332</v>
          </cell>
          <cell r="E27">
            <v>225.97666666666669</v>
          </cell>
          <cell r="F27">
            <v>124.20083333333332</v>
          </cell>
          <cell r="G27">
            <v>554.99416666666662</v>
          </cell>
          <cell r="H27">
            <v>3594.5545791666673</v>
          </cell>
          <cell r="I27">
            <v>113.06681818181822</v>
          </cell>
          <cell r="J27">
            <v>3594.5545791666673</v>
          </cell>
          <cell r="K27">
            <v>113.06681818181822</v>
          </cell>
          <cell r="L27">
            <v>3594.5545791666673</v>
          </cell>
          <cell r="M27">
            <v>113.06681818181822</v>
          </cell>
          <cell r="N27">
            <v>3594.5545791666673</v>
          </cell>
          <cell r="O27">
            <v>113.06681818181822</v>
          </cell>
          <cell r="P27">
            <v>3594.5545791666673</v>
          </cell>
          <cell r="Q27">
            <v>113.06681818181822</v>
          </cell>
          <cell r="R27">
            <v>3594.5545791666673</v>
          </cell>
          <cell r="S27">
            <v>113.06681818181822</v>
          </cell>
        </row>
        <row r="28">
          <cell r="A28" t="str">
            <v>ASSISTENTE OPERACIONAL II</v>
          </cell>
          <cell r="B28">
            <v>59</v>
          </cell>
          <cell r="C28">
            <v>2806.3089999999993</v>
          </cell>
          <cell r="D28">
            <v>175.15898305084747</v>
          </cell>
          <cell r="E28">
            <v>289.31491525423723</v>
          </cell>
          <cell r="F28">
            <v>114.1559322033899</v>
          </cell>
          <cell r="G28">
            <v>551.58000000000084</v>
          </cell>
          <cell r="H28">
            <v>2551.1899999999991</v>
          </cell>
          <cell r="I28">
            <v>185.5367950693373</v>
          </cell>
          <cell r="J28">
            <v>2551.1899999999991</v>
          </cell>
          <cell r="K28">
            <v>185.5367950693373</v>
          </cell>
          <cell r="L28">
            <v>2551.1899999999991</v>
          </cell>
          <cell r="M28">
            <v>185.5367950693373</v>
          </cell>
          <cell r="N28">
            <v>2551.1899999999991</v>
          </cell>
          <cell r="O28">
            <v>185.5367950693373</v>
          </cell>
          <cell r="P28">
            <v>2551.1899999999991</v>
          </cell>
          <cell r="Q28">
            <v>185.5367950693373</v>
          </cell>
          <cell r="R28">
            <v>2551.1899999999991</v>
          </cell>
          <cell r="S28">
            <v>185.5367950693373</v>
          </cell>
        </row>
        <row r="29">
          <cell r="A29" t="str">
            <v>AUXILIAR DE LIMPEZA</v>
          </cell>
          <cell r="B29">
            <v>2516</v>
          </cell>
          <cell r="C29">
            <v>1794.7362817701783</v>
          </cell>
          <cell r="D29">
            <v>208.70494101748852</v>
          </cell>
          <cell r="E29">
            <v>290.45551462639139</v>
          </cell>
          <cell r="F29">
            <v>81.750574721778463</v>
          </cell>
          <cell r="G29">
            <v>548.42074721780864</v>
          </cell>
          <cell r="H29">
            <v>1223.683828479667</v>
          </cell>
          <cell r="I29">
            <v>234.71648640699698</v>
          </cell>
          <cell r="J29">
            <v>1468.4205941756004</v>
          </cell>
          <cell r="K29">
            <v>223.5686807631181</v>
          </cell>
          <cell r="L29">
            <v>1631.5784379728893</v>
          </cell>
          <cell r="M29">
            <v>216.13681033386553</v>
          </cell>
          <cell r="N29">
            <v>1794.7362817701783</v>
          </cell>
          <cell r="O29">
            <v>208.70493990461293</v>
          </cell>
          <cell r="P29">
            <v>815.78921898644467</v>
          </cell>
          <cell r="Q29">
            <v>253.29616248012846</v>
          </cell>
          <cell r="R29">
            <v>897.36814088508913</v>
          </cell>
          <cell r="S29">
            <v>249.58022726550217</v>
          </cell>
        </row>
        <row r="30">
          <cell r="A30" t="str">
            <v>AUXILIAR DE SERVIÇOS</v>
          </cell>
          <cell r="B30">
            <v>239</v>
          </cell>
          <cell r="C30">
            <v>2007.4599342050219</v>
          </cell>
          <cell r="D30">
            <v>252.91982259414229</v>
          </cell>
          <cell r="E30">
            <v>344.96111966527178</v>
          </cell>
          <cell r="F30">
            <v>92.041297071129691</v>
          </cell>
          <cell r="G30">
            <v>551.01665271966669</v>
          </cell>
          <cell r="H30">
            <v>1368.7226824125148</v>
          </cell>
          <cell r="I30">
            <v>282.20568984404701</v>
          </cell>
          <cell r="J30">
            <v>1642.4672188950178</v>
          </cell>
          <cell r="K30">
            <v>269.65460387980204</v>
          </cell>
          <cell r="L30">
            <v>1824.9635765500198</v>
          </cell>
          <cell r="M30">
            <v>261.28721323697209</v>
          </cell>
          <cell r="N30">
            <v>2007.4599342050217</v>
          </cell>
          <cell r="O30">
            <v>252.91982259414209</v>
          </cell>
          <cell r="P30">
            <v>912.48178827500988</v>
          </cell>
          <cell r="Q30">
            <v>303.12416645112194</v>
          </cell>
          <cell r="R30">
            <v>1003.7299671025108</v>
          </cell>
          <cell r="S30">
            <v>298.94047112970691</v>
          </cell>
        </row>
        <row r="31">
          <cell r="A31" t="str">
            <v>BOMBEIRO HIDRÁULICO</v>
          </cell>
          <cell r="B31">
            <v>41</v>
          </cell>
          <cell r="C31">
            <v>2830.8276262195141</v>
          </cell>
          <cell r="D31">
            <v>187.48959024390246</v>
          </cell>
          <cell r="E31">
            <v>310.40276097560974</v>
          </cell>
          <cell r="F31">
            <v>122.91317073170727</v>
          </cell>
          <cell r="G31">
            <v>548.29609756097602</v>
          </cell>
          <cell r="H31">
            <v>1930.1097451496687</v>
          </cell>
          <cell r="I31">
            <v>226.59832638580934</v>
          </cell>
          <cell r="J31">
            <v>2316.1316941796026</v>
          </cell>
          <cell r="K31">
            <v>209.83743946784926</v>
          </cell>
          <cell r="L31">
            <v>2573.4796601995586</v>
          </cell>
          <cell r="M31">
            <v>198.66351485587586</v>
          </cell>
          <cell r="N31">
            <v>2830.8276262195141</v>
          </cell>
          <cell r="O31">
            <v>187.48959024390248</v>
          </cell>
          <cell r="P31">
            <v>1286.7398300997793</v>
          </cell>
          <cell r="Q31">
            <v>254.5331379157428</v>
          </cell>
          <cell r="R31">
            <v>1415.413813109757</v>
          </cell>
          <cell r="S31">
            <v>248.9461756097561</v>
          </cell>
        </row>
        <row r="32">
          <cell r="A32" t="str">
            <v>CAMAREIRA DE HOSPITAIS</v>
          </cell>
          <cell r="B32">
            <v>21</v>
          </cell>
          <cell r="C32">
            <v>1772.8039999999996</v>
          </cell>
          <cell r="D32">
            <v>188.47763809523809</v>
          </cell>
          <cell r="E32">
            <v>294.84763809523804</v>
          </cell>
          <cell r="F32">
            <v>106.36999999999996</v>
          </cell>
          <cell r="G32">
            <v>551.58000000000004</v>
          </cell>
          <cell r="H32">
            <v>1208.7299999999996</v>
          </cell>
          <cell r="I32">
            <v>222.32263809523806</v>
          </cell>
          <cell r="J32">
            <v>1450.4759999999997</v>
          </cell>
          <cell r="K32">
            <v>207.81763809523807</v>
          </cell>
          <cell r="L32">
            <v>1611.6399999999994</v>
          </cell>
          <cell r="M32">
            <v>198.14763809523808</v>
          </cell>
          <cell r="N32">
            <v>1772.8039999999994</v>
          </cell>
          <cell r="O32">
            <v>188.47763809523809</v>
          </cell>
          <cell r="P32">
            <v>805.81999999999971</v>
          </cell>
          <cell r="Q32">
            <v>246.49763809523807</v>
          </cell>
          <cell r="R32">
            <v>886.4019999999997</v>
          </cell>
          <cell r="S32">
            <v>241.66263809523807</v>
          </cell>
        </row>
        <row r="33">
          <cell r="A33" t="str">
            <v>COPEIRO</v>
          </cell>
          <cell r="B33">
            <v>139</v>
          </cell>
          <cell r="C33">
            <v>1874.4100050803384</v>
          </cell>
          <cell r="D33">
            <v>154.19605323741004</v>
          </cell>
          <cell r="E33">
            <v>239.94216834532381</v>
          </cell>
          <cell r="F33">
            <v>85.746115107913852</v>
          </cell>
          <cell r="G33">
            <v>552.0466187050373</v>
          </cell>
          <cell r="H33">
            <v>1278.0068216456852</v>
          </cell>
          <cell r="I33">
            <v>181.47890804447346</v>
          </cell>
          <cell r="J33">
            <v>1533.6081859748224</v>
          </cell>
          <cell r="K33">
            <v>169.78625598430338</v>
          </cell>
          <cell r="L33">
            <v>1704.0090955275805</v>
          </cell>
          <cell r="M33">
            <v>161.99115461085665</v>
          </cell>
          <cell r="N33">
            <v>1874.4100050803386</v>
          </cell>
          <cell r="O33">
            <v>154.19605323740996</v>
          </cell>
          <cell r="P33">
            <v>852.00454776379024</v>
          </cell>
          <cell r="Q33">
            <v>200.96666147809023</v>
          </cell>
          <cell r="R33">
            <v>937.20500254016929</v>
          </cell>
          <cell r="S33">
            <v>197.06911079136688</v>
          </cell>
        </row>
        <row r="34">
          <cell r="A34" t="str">
            <v>COVEIRO</v>
          </cell>
          <cell r="B34">
            <v>2</v>
          </cell>
          <cell r="C34">
            <v>1990.3625</v>
          </cell>
          <cell r="D34">
            <v>0</v>
          </cell>
          <cell r="E34">
            <v>0</v>
          </cell>
          <cell r="F34">
            <v>0</v>
          </cell>
          <cell r="G34">
            <v>551.58000000000004</v>
          </cell>
          <cell r="H34">
            <v>1357.065340909091</v>
          </cell>
          <cell r="I34">
            <v>0</v>
          </cell>
          <cell r="J34">
            <v>1628.4784090909091</v>
          </cell>
          <cell r="K34">
            <v>0</v>
          </cell>
          <cell r="L34">
            <v>1809.4204545454545</v>
          </cell>
          <cell r="M34">
            <v>0</v>
          </cell>
          <cell r="N34">
            <v>1990.3625</v>
          </cell>
          <cell r="O34">
            <v>0</v>
          </cell>
          <cell r="P34">
            <v>904.71022727272725</v>
          </cell>
          <cell r="Q34">
            <v>0</v>
          </cell>
          <cell r="R34">
            <v>995.18124999999998</v>
          </cell>
          <cell r="S34">
            <v>0</v>
          </cell>
        </row>
        <row r="35">
          <cell r="A35" t="str">
            <v>COZINHEIRO</v>
          </cell>
          <cell r="B35">
            <v>22</v>
          </cell>
          <cell r="C35">
            <v>2480.183171590907</v>
          </cell>
          <cell r="D35">
            <v>94.292818181818177</v>
          </cell>
          <cell r="E35">
            <v>172.61781818181814</v>
          </cell>
          <cell r="F35">
            <v>78.325000000000017</v>
          </cell>
          <cell r="G35">
            <v>551.58000000000004</v>
          </cell>
          <cell r="H35">
            <v>1691.0339806301638</v>
          </cell>
          <cell r="I35">
            <v>119.21440909090904</v>
          </cell>
          <cell r="J35">
            <v>2029.2407767561965</v>
          </cell>
          <cell r="K35">
            <v>108.53372727272722</v>
          </cell>
          <cell r="L35">
            <v>2254.7119741735519</v>
          </cell>
          <cell r="M35">
            <v>101.41327272727267</v>
          </cell>
          <cell r="N35">
            <v>2480.183171590907</v>
          </cell>
          <cell r="O35">
            <v>94.29281818181812</v>
          </cell>
          <cell r="P35">
            <v>1127.3559870867759</v>
          </cell>
          <cell r="Q35">
            <v>137.01554545454542</v>
          </cell>
          <cell r="R35">
            <v>1240.0915857954535</v>
          </cell>
          <cell r="S35">
            <v>133.45531818181814</v>
          </cell>
        </row>
        <row r="36">
          <cell r="A36" t="str">
            <v>DIGITADOR</v>
          </cell>
          <cell r="B36">
            <v>306</v>
          </cell>
          <cell r="C36">
            <v>2606.8806446877061</v>
          </cell>
          <cell r="D36">
            <v>111.03862745098053</v>
          </cell>
          <cell r="E36">
            <v>200.58333333333343</v>
          </cell>
          <cell r="F36">
            <v>89.544705882353099</v>
          </cell>
          <cell r="G36">
            <v>541.84450980392262</v>
          </cell>
          <cell r="H36">
            <v>1777.4186213779815</v>
          </cell>
          <cell r="I36">
            <v>139.53012477718357</v>
          </cell>
          <cell r="J36">
            <v>2132.9023456535779</v>
          </cell>
          <cell r="K36">
            <v>127.31948306595362</v>
          </cell>
          <cell r="L36">
            <v>2369.891495170642</v>
          </cell>
          <cell r="M36">
            <v>119.17905525846697</v>
          </cell>
          <cell r="N36">
            <v>2606.8806446877061</v>
          </cell>
          <cell r="O36">
            <v>111.03862745098033</v>
          </cell>
          <cell r="P36">
            <v>1184.945747585321</v>
          </cell>
          <cell r="Q36">
            <v>159.8811942959002</v>
          </cell>
          <cell r="R36">
            <v>1303.440322343853</v>
          </cell>
          <cell r="S36">
            <v>155.81098039215686</v>
          </cell>
        </row>
        <row r="37">
          <cell r="A37" t="str">
            <v>EDUCADOR INFANTIL</v>
          </cell>
          <cell r="B37">
            <v>77</v>
          </cell>
          <cell r="C37">
            <v>2415.4769740259735</v>
          </cell>
          <cell r="D37">
            <v>201.60805194805198</v>
          </cell>
          <cell r="E37">
            <v>314.38285714285723</v>
          </cell>
          <cell r="F37">
            <v>112.77480519480527</v>
          </cell>
          <cell r="G37">
            <v>551.58000000000106</v>
          </cell>
          <cell r="H37">
            <v>1646.9161186540728</v>
          </cell>
          <cell r="I37">
            <v>237.49094451003543</v>
          </cell>
          <cell r="J37">
            <v>1976.2993423848873</v>
          </cell>
          <cell r="K37">
            <v>222.1125619834711</v>
          </cell>
          <cell r="L37">
            <v>2195.8881582054305</v>
          </cell>
          <cell r="M37">
            <v>211.86030696576154</v>
          </cell>
          <cell r="N37">
            <v>2415.4769740259735</v>
          </cell>
          <cell r="O37">
            <v>201.60805194805195</v>
          </cell>
          <cell r="P37">
            <v>1097.9440791027152</v>
          </cell>
          <cell r="Q37">
            <v>263.12158205430939</v>
          </cell>
          <cell r="R37">
            <v>1207.7384870129868</v>
          </cell>
          <cell r="S37">
            <v>257.99545454545461</v>
          </cell>
        </row>
        <row r="38">
          <cell r="A38" t="str">
            <v>ELETRICISTA</v>
          </cell>
          <cell r="B38">
            <v>15</v>
          </cell>
          <cell r="C38">
            <v>2638.4812900000002</v>
          </cell>
          <cell r="D38">
            <v>136.48266666666666</v>
          </cell>
          <cell r="E38">
            <v>221.108</v>
          </cell>
          <cell r="F38">
            <v>84.625333333333344</v>
          </cell>
          <cell r="G38">
            <v>551.58000000000004</v>
          </cell>
          <cell r="H38">
            <v>1798.964515909091</v>
          </cell>
          <cell r="I38">
            <v>163.40890909090911</v>
          </cell>
          <cell r="J38">
            <v>2158.7574190909095</v>
          </cell>
          <cell r="K38">
            <v>151.86909090909091</v>
          </cell>
          <cell r="L38">
            <v>2398.6193545454548</v>
          </cell>
          <cell r="M38">
            <v>144.17587878787879</v>
          </cell>
          <cell r="N38">
            <v>2638.4812900000002</v>
          </cell>
          <cell r="O38">
            <v>136.48266666666666</v>
          </cell>
          <cell r="P38">
            <v>1199.3096772727274</v>
          </cell>
          <cell r="Q38">
            <v>182.6419393939394</v>
          </cell>
          <cell r="R38">
            <v>1319.2406450000001</v>
          </cell>
          <cell r="S38">
            <v>178.79533333333333</v>
          </cell>
        </row>
        <row r="39">
          <cell r="A39" t="str">
            <v>ENCARREGADO</v>
          </cell>
          <cell r="B39">
            <v>78</v>
          </cell>
          <cell r="C39">
            <v>2979.5357369391049</v>
          </cell>
          <cell r="D39">
            <v>136.50123333333335</v>
          </cell>
          <cell r="E39">
            <v>246.16905384615379</v>
          </cell>
          <cell r="F39">
            <v>109.66782051282055</v>
          </cell>
          <cell r="G39">
            <v>549.85384615384714</v>
          </cell>
          <cell r="H39">
            <v>2708.6688517628227</v>
          </cell>
          <cell r="I39">
            <v>146.4710351981351</v>
          </cell>
          <cell r="J39">
            <v>2708.6688517628227</v>
          </cell>
          <cell r="K39">
            <v>146.4710351981351</v>
          </cell>
          <cell r="L39">
            <v>2708.6688517628227</v>
          </cell>
          <cell r="M39">
            <v>146.4710351981351</v>
          </cell>
          <cell r="N39">
            <v>2708.6688517628227</v>
          </cell>
          <cell r="O39">
            <v>146.4710351981351</v>
          </cell>
          <cell r="P39">
            <v>2708.6688517628227</v>
          </cell>
          <cell r="Q39">
            <v>146.4710351981351</v>
          </cell>
          <cell r="R39">
            <v>2708.6688517628227</v>
          </cell>
          <cell r="S39">
            <v>146.4710351981351</v>
          </cell>
        </row>
        <row r="40">
          <cell r="A40" t="str">
            <v>ENCARREGADO DE CAMPO</v>
          </cell>
          <cell r="B40">
            <v>1</v>
          </cell>
          <cell r="C40">
            <v>3262.3401249999997</v>
          </cell>
          <cell r="D40">
            <v>354.26</v>
          </cell>
          <cell r="E40">
            <v>550</v>
          </cell>
          <cell r="F40">
            <v>195.74</v>
          </cell>
          <cell r="G40">
            <v>551.58000000000004</v>
          </cell>
          <cell r="H40">
            <v>2965.7637499999996</v>
          </cell>
          <cell r="I40">
            <v>372.0545454545454</v>
          </cell>
          <cell r="J40">
            <v>2965.7637499999996</v>
          </cell>
          <cell r="K40">
            <v>372.0545454545454</v>
          </cell>
          <cell r="L40">
            <v>2965.7637499999996</v>
          </cell>
          <cell r="M40">
            <v>372.0545454545454</v>
          </cell>
          <cell r="N40">
            <v>2965.7637499999996</v>
          </cell>
          <cell r="O40">
            <v>372.0545454545454</v>
          </cell>
          <cell r="P40">
            <v>2965.7637499999996</v>
          </cell>
          <cell r="Q40">
            <v>372.0545454545454</v>
          </cell>
          <cell r="R40">
            <v>2965.7637499999996</v>
          </cell>
          <cell r="S40">
            <v>372.0545454545454</v>
          </cell>
        </row>
        <row r="41">
          <cell r="A41" t="str">
            <v>ENCARREGADO GERAL</v>
          </cell>
          <cell r="B41">
            <v>1</v>
          </cell>
          <cell r="C41">
            <v>3914.7844999999998</v>
          </cell>
          <cell r="D41">
            <v>315.11</v>
          </cell>
          <cell r="E41">
            <v>550</v>
          </cell>
          <cell r="F41">
            <v>234.89</v>
          </cell>
          <cell r="G41">
            <v>551.58000000000004</v>
          </cell>
          <cell r="H41">
            <v>3558.8949999999995</v>
          </cell>
          <cell r="I41">
            <v>336.4636363636364</v>
          </cell>
          <cell r="J41">
            <v>3558.8949999999995</v>
          </cell>
          <cell r="K41">
            <v>336.4636363636364</v>
          </cell>
          <cell r="L41">
            <v>3558.8949999999995</v>
          </cell>
          <cell r="M41">
            <v>336.4636363636364</v>
          </cell>
          <cell r="N41">
            <v>3558.8949999999995</v>
          </cell>
          <cell r="O41">
            <v>336.4636363636364</v>
          </cell>
          <cell r="P41">
            <v>3558.8949999999995</v>
          </cell>
          <cell r="Q41">
            <v>336.4636363636364</v>
          </cell>
          <cell r="R41">
            <v>3558.8949999999995</v>
          </cell>
          <cell r="S41">
            <v>336.4636363636364</v>
          </cell>
        </row>
        <row r="42">
          <cell r="A42" t="str">
            <v>FRENTISTA</v>
          </cell>
          <cell r="B42">
            <v>29</v>
          </cell>
          <cell r="C42">
            <v>1960.5335938706903</v>
          </cell>
          <cell r="D42">
            <v>276.02896551724137</v>
          </cell>
          <cell r="E42">
            <v>354.29103448275856</v>
          </cell>
          <cell r="F42">
            <v>78.262068965517258</v>
          </cell>
          <cell r="G42">
            <v>542.29448275862069</v>
          </cell>
          <cell r="H42">
            <v>1336.7274503663798</v>
          </cell>
          <cell r="I42">
            <v>300.93053291536046</v>
          </cell>
          <cell r="J42">
            <v>1604.0729404396557</v>
          </cell>
          <cell r="K42">
            <v>290.25843260188083</v>
          </cell>
          <cell r="L42">
            <v>1782.303267155173</v>
          </cell>
          <cell r="M42">
            <v>283.14369905956107</v>
          </cell>
          <cell r="N42">
            <v>1960.5335938706903</v>
          </cell>
          <cell r="O42">
            <v>276.02896551724132</v>
          </cell>
          <cell r="P42">
            <v>891.15163357758649</v>
          </cell>
          <cell r="Q42">
            <v>318.71736677115979</v>
          </cell>
          <cell r="R42">
            <v>980.26679693534516</v>
          </cell>
          <cell r="S42">
            <v>315.15999999999991</v>
          </cell>
        </row>
        <row r="43">
          <cell r="A43" t="str">
            <v>GARÇOM</v>
          </cell>
          <cell r="B43">
            <v>23</v>
          </cell>
          <cell r="C43">
            <v>3397.1390304347829</v>
          </cell>
          <cell r="D43">
            <v>154.63640000000001</v>
          </cell>
          <cell r="E43">
            <v>281.1894434782609</v>
          </cell>
          <cell r="F43">
            <v>126.55304347826085</v>
          </cell>
          <cell r="G43">
            <v>551.58000000000004</v>
          </cell>
          <cell r="H43">
            <v>2316.2311571146247</v>
          </cell>
          <cell r="I43">
            <v>194.90327747035576</v>
          </cell>
          <cell r="J43">
            <v>2779.4773885375498</v>
          </cell>
          <cell r="K43">
            <v>177.64604426877474</v>
          </cell>
          <cell r="L43">
            <v>3088.3082094861666</v>
          </cell>
          <cell r="M43">
            <v>166.14122213438742</v>
          </cell>
          <cell r="N43">
            <v>3397.1390304347829</v>
          </cell>
          <cell r="O43">
            <v>154.63640000000004</v>
          </cell>
          <cell r="P43">
            <v>1544.1541047430833</v>
          </cell>
          <cell r="Q43">
            <v>223.66533280632416</v>
          </cell>
          <cell r="R43">
            <v>1698.5695152173914</v>
          </cell>
          <cell r="S43">
            <v>217.91292173913047</v>
          </cell>
        </row>
        <row r="44">
          <cell r="A44" t="str">
            <v>GESTOR OPERACIONAL</v>
          </cell>
          <cell r="B44">
            <v>22</v>
          </cell>
          <cell r="C44">
            <v>6809.5615116279068</v>
          </cell>
          <cell r="D44">
            <v>31.296818181818182</v>
          </cell>
          <cell r="E44">
            <v>149</v>
          </cell>
          <cell r="F44">
            <v>117.70318181818183</v>
          </cell>
          <cell r="G44">
            <v>547.29227272727269</v>
          </cell>
          <cell r="H44">
            <v>6190.5104651162783</v>
          </cell>
          <cell r="I44">
            <v>41.997107438016528</v>
          </cell>
          <cell r="J44">
            <v>6190.5104651162783</v>
          </cell>
          <cell r="K44">
            <v>41.997107438016528</v>
          </cell>
          <cell r="L44">
            <v>6190.5104651162783</v>
          </cell>
          <cell r="M44">
            <v>41.997107438016528</v>
          </cell>
          <cell r="N44">
            <v>6190.5104651162783</v>
          </cell>
          <cell r="O44">
            <v>41.997107438016528</v>
          </cell>
          <cell r="P44">
            <v>6190.5104651162783</v>
          </cell>
          <cell r="Q44">
            <v>41.997107438016528</v>
          </cell>
          <cell r="R44">
            <v>6190.5104651162783</v>
          </cell>
          <cell r="S44">
            <v>41.997107438016528</v>
          </cell>
        </row>
        <row r="45">
          <cell r="A45" t="str">
            <v>JARDINEIRO</v>
          </cell>
          <cell r="B45">
            <v>41</v>
          </cell>
          <cell r="C45">
            <v>2556.9576634146338</v>
          </cell>
          <cell r="D45">
            <v>236.46946341463413</v>
          </cell>
          <cell r="E45">
            <v>337.02604878048777</v>
          </cell>
          <cell r="F45">
            <v>100.55658536585364</v>
          </cell>
          <cell r="G45">
            <v>551.5800000000005</v>
          </cell>
          <cell r="H45">
            <v>1743.3802250554322</v>
          </cell>
          <cell r="I45">
            <v>268.46474057649664</v>
          </cell>
          <cell r="J45">
            <v>2092.0562700665187</v>
          </cell>
          <cell r="K45">
            <v>254.75247893569843</v>
          </cell>
          <cell r="L45">
            <v>2324.506966740576</v>
          </cell>
          <cell r="M45">
            <v>245.6109711751663</v>
          </cell>
          <cell r="N45">
            <v>2556.9576634146338</v>
          </cell>
          <cell r="O45">
            <v>236.46946341463413</v>
          </cell>
          <cell r="P45">
            <v>1162.253483370288</v>
          </cell>
          <cell r="Q45">
            <v>291.31850997782703</v>
          </cell>
          <cell r="R45">
            <v>1278.4788317073169</v>
          </cell>
          <cell r="S45">
            <v>286.74775609756097</v>
          </cell>
        </row>
        <row r="46">
          <cell r="A46" t="str">
            <v>LABORATORISTA</v>
          </cell>
          <cell r="B46">
            <v>8</v>
          </cell>
          <cell r="C46">
            <v>2806.3090000000002</v>
          </cell>
          <cell r="D46">
            <v>337.51</v>
          </cell>
          <cell r="E46">
            <v>505.89</v>
          </cell>
          <cell r="F46">
            <v>168.38</v>
          </cell>
          <cell r="G46">
            <v>551.58000000000004</v>
          </cell>
          <cell r="H46">
            <v>2551.19</v>
          </cell>
          <cell r="I46">
            <v>352.81727272727272</v>
          </cell>
          <cell r="J46">
            <v>2551.19</v>
          </cell>
          <cell r="K46">
            <v>352.81727272727272</v>
          </cell>
          <cell r="L46">
            <v>2551.19</v>
          </cell>
          <cell r="M46">
            <v>352.81727272727272</v>
          </cell>
          <cell r="N46">
            <v>2551.19</v>
          </cell>
          <cell r="O46">
            <v>352.81727272727272</v>
          </cell>
          <cell r="P46">
            <v>2551.19</v>
          </cell>
          <cell r="Q46">
            <v>352.81727272727272</v>
          </cell>
          <cell r="R46">
            <v>2551.19</v>
          </cell>
          <cell r="S46">
            <v>352.81727272727272</v>
          </cell>
        </row>
        <row r="47">
          <cell r="A47" t="str">
            <v>MANUTENÇÃO DE ÁREAS VERDES E VIVEIROS</v>
          </cell>
          <cell r="B47">
            <v>74</v>
          </cell>
          <cell r="C47">
            <v>1866.9668813209478</v>
          </cell>
          <cell r="D47">
            <v>155.88391891891882</v>
          </cell>
          <cell r="E47">
            <v>213.77459459459462</v>
          </cell>
          <cell r="F47">
            <v>57.890675675675652</v>
          </cell>
          <cell r="G47">
            <v>537.02432432432511</v>
          </cell>
          <cell r="H47">
            <v>1272.9319645370099</v>
          </cell>
          <cell r="I47">
            <v>174.30367936117941</v>
          </cell>
          <cell r="J47">
            <v>1527.5183574444118</v>
          </cell>
          <cell r="K47">
            <v>166.40949631449635</v>
          </cell>
          <cell r="L47">
            <v>1697.2426193826798</v>
          </cell>
          <cell r="M47">
            <v>161.14670761670766</v>
          </cell>
          <cell r="N47">
            <v>1866.9668813209478</v>
          </cell>
          <cell r="O47">
            <v>155.88391891891897</v>
          </cell>
          <cell r="P47">
            <v>848.62130969133989</v>
          </cell>
          <cell r="Q47">
            <v>187.46065110565115</v>
          </cell>
          <cell r="R47">
            <v>933.48344066047389</v>
          </cell>
          <cell r="S47">
            <v>184.82925675675679</v>
          </cell>
        </row>
        <row r="48">
          <cell r="A48" t="str">
            <v>MECÂNICO DE MÁQUINAS E EQUIPAMENTOS</v>
          </cell>
          <cell r="B48">
            <v>3</v>
          </cell>
          <cell r="C48">
            <v>2616.6144999999997</v>
          </cell>
          <cell r="D48">
            <v>264.67200000000003</v>
          </cell>
          <cell r="E48">
            <v>369.33866666666671</v>
          </cell>
          <cell r="F48">
            <v>104.66666666666667</v>
          </cell>
          <cell r="G48">
            <v>551.58000000000004</v>
          </cell>
          <cell r="H48">
            <v>1784.0553409090908</v>
          </cell>
          <cell r="I48">
            <v>297.97503030303034</v>
          </cell>
          <cell r="J48">
            <v>2140.8664090909087</v>
          </cell>
          <cell r="K48">
            <v>283.70230303030309</v>
          </cell>
          <cell r="L48">
            <v>2378.7404545454542</v>
          </cell>
          <cell r="M48">
            <v>274.18715151515153</v>
          </cell>
          <cell r="N48">
            <v>2616.6144999999997</v>
          </cell>
          <cell r="O48">
            <v>264.67200000000003</v>
          </cell>
          <cell r="P48">
            <v>1189.3702272727271</v>
          </cell>
          <cell r="Q48">
            <v>321.76290909090915</v>
          </cell>
          <cell r="R48">
            <v>1308.3072499999998</v>
          </cell>
          <cell r="S48">
            <v>317.0053333333334</v>
          </cell>
        </row>
        <row r="49">
          <cell r="A49" t="str">
            <v>MOTOCICLISTA</v>
          </cell>
          <cell r="B49">
            <v>4</v>
          </cell>
          <cell r="C49">
            <v>2562.2943249999998</v>
          </cell>
          <cell r="D49">
            <v>241.12</v>
          </cell>
          <cell r="E49">
            <v>318.45</v>
          </cell>
          <cell r="F49">
            <v>77.33</v>
          </cell>
          <cell r="G49">
            <v>530.99</v>
          </cell>
          <cell r="H49">
            <v>1747.0188579545454</v>
          </cell>
          <cell r="I49">
            <v>265.72500000000002</v>
          </cell>
          <cell r="J49">
            <v>2096.4226295454546</v>
          </cell>
          <cell r="K49">
            <v>255.18</v>
          </cell>
          <cell r="L49">
            <v>2329.3584772727272</v>
          </cell>
          <cell r="M49">
            <v>248.14999999999998</v>
          </cell>
          <cell r="N49">
            <v>2562.2943249999998</v>
          </cell>
          <cell r="O49">
            <v>241.12</v>
          </cell>
          <cell r="P49">
            <v>1164.6792386363636</v>
          </cell>
          <cell r="Q49">
            <v>283.3</v>
          </cell>
          <cell r="R49">
            <v>1281.1471624999999</v>
          </cell>
          <cell r="S49">
            <v>279.78499999999997</v>
          </cell>
        </row>
        <row r="50">
          <cell r="A50" t="str">
            <v>MOTORISTA DE AMBULÂNCIA</v>
          </cell>
          <cell r="B50">
            <v>75</v>
          </cell>
          <cell r="C50">
            <v>3862.1518529111131</v>
          </cell>
          <cell r="D50">
            <v>19.965546666666668</v>
          </cell>
          <cell r="E50">
            <v>61.368880000000004</v>
          </cell>
          <cell r="F50">
            <v>41.403333333333336</v>
          </cell>
          <cell r="G50">
            <v>578.37053333333313</v>
          </cell>
          <cell r="H50">
            <v>2633.2853542575767</v>
          </cell>
          <cell r="I50">
            <v>33.139334545454545</v>
          </cell>
          <cell r="J50">
            <v>3159.9424251090923</v>
          </cell>
          <cell r="K50">
            <v>27.493425454545459</v>
          </cell>
          <cell r="L50">
            <v>3511.0471390101025</v>
          </cell>
          <cell r="M50">
            <v>23.729486060606064</v>
          </cell>
          <cell r="N50">
            <v>3862.1518529111127</v>
          </cell>
          <cell r="O50">
            <v>19.965546666666668</v>
          </cell>
          <cell r="P50">
            <v>1755.5235695050512</v>
          </cell>
          <cell r="Q50">
            <v>42.549183030303034</v>
          </cell>
          <cell r="R50">
            <v>1931.0759264555563</v>
          </cell>
          <cell r="S50">
            <v>40.667213333333336</v>
          </cell>
        </row>
        <row r="51">
          <cell r="A51" t="str">
            <v>MOTORISTA DE CAMINHÃO</v>
          </cell>
          <cell r="B51">
            <v>47</v>
          </cell>
          <cell r="C51">
            <v>3046.4749092553202</v>
          </cell>
          <cell r="D51">
            <v>102.38738723404255</v>
          </cell>
          <cell r="E51">
            <v>179.96015319148938</v>
          </cell>
          <cell r="F51">
            <v>77.572765957446805</v>
          </cell>
          <cell r="G51">
            <v>588.39170212765941</v>
          </cell>
          <cell r="H51">
            <v>2077.141983583173</v>
          </cell>
          <cell r="I51">
            <v>127.06963094777566</v>
          </cell>
          <cell r="J51">
            <v>2492.5703802998073</v>
          </cell>
          <cell r="K51">
            <v>116.49152649903291</v>
          </cell>
          <cell r="L51">
            <v>2769.522644777564</v>
          </cell>
          <cell r="M51">
            <v>109.43945686653774</v>
          </cell>
          <cell r="N51">
            <v>3046.4749092553202</v>
          </cell>
          <cell r="O51">
            <v>102.38738723404258</v>
          </cell>
          <cell r="P51">
            <v>1384.761322388782</v>
          </cell>
          <cell r="Q51">
            <v>144.69980502901356</v>
          </cell>
          <cell r="R51">
            <v>1523.2374546276601</v>
          </cell>
          <cell r="S51">
            <v>141.17377021276599</v>
          </cell>
        </row>
        <row r="52">
          <cell r="A52" t="str">
            <v>MOTORISTA DE CAMINHÃO (CARGAS PESADAS)</v>
          </cell>
          <cell r="B52">
            <v>1</v>
          </cell>
          <cell r="C52">
            <v>3707.2665000000002</v>
          </cell>
          <cell r="D52">
            <v>0</v>
          </cell>
          <cell r="E52">
            <v>0</v>
          </cell>
          <cell r="F52">
            <v>0</v>
          </cell>
          <cell r="G52">
            <v>566.54</v>
          </cell>
          <cell r="H52">
            <v>2527.6817045454545</v>
          </cell>
          <cell r="I52">
            <v>0</v>
          </cell>
          <cell r="J52">
            <v>3033.2180454545455</v>
          </cell>
          <cell r="K52">
            <v>0</v>
          </cell>
          <cell r="L52">
            <v>3370.2422727272724</v>
          </cell>
          <cell r="M52">
            <v>0</v>
          </cell>
          <cell r="N52">
            <v>3707.2664999999997</v>
          </cell>
          <cell r="O52">
            <v>0</v>
          </cell>
          <cell r="P52">
            <v>1685.1211363636362</v>
          </cell>
          <cell r="Q52">
            <v>0</v>
          </cell>
          <cell r="R52">
            <v>1853.6332499999999</v>
          </cell>
          <cell r="S52">
            <v>0</v>
          </cell>
        </row>
        <row r="53">
          <cell r="A53" t="str">
            <v>MOTORISTA DE ÔNIBUS</v>
          </cell>
          <cell r="B53">
            <v>71</v>
          </cell>
          <cell r="C53">
            <v>3873.8434954225372</v>
          </cell>
          <cell r="D53">
            <v>59.014225352112668</v>
          </cell>
          <cell r="E53">
            <v>112.38591549295774</v>
          </cell>
          <cell r="F53">
            <v>53.371690140845068</v>
          </cell>
          <cell r="G53">
            <v>587.88028169014069</v>
          </cell>
          <cell r="H53">
            <v>2641.2569286971848</v>
          </cell>
          <cell r="I53">
            <v>75.996126760563371</v>
          </cell>
          <cell r="J53">
            <v>3169.5083144366217</v>
          </cell>
          <cell r="K53">
            <v>68.718169014084495</v>
          </cell>
          <cell r="L53">
            <v>3521.6759049295797</v>
          </cell>
          <cell r="M53">
            <v>63.866197183098578</v>
          </cell>
          <cell r="N53">
            <v>3873.8434954225377</v>
          </cell>
          <cell r="O53">
            <v>59.014225352112668</v>
          </cell>
          <cell r="P53">
            <v>1760.8379524647899</v>
          </cell>
          <cell r="Q53">
            <v>88.12605633802815</v>
          </cell>
          <cell r="R53">
            <v>1936.9217477112688</v>
          </cell>
          <cell r="S53">
            <v>85.700070422535205</v>
          </cell>
        </row>
        <row r="54">
          <cell r="A54" t="str">
            <v>MOTORISTA DE PASSAGEIROS</v>
          </cell>
          <cell r="B54">
            <v>16</v>
          </cell>
          <cell r="C54">
            <v>3968.2980999999991</v>
          </cell>
          <cell r="D54">
            <v>63.207850000000008</v>
          </cell>
          <cell r="E54">
            <v>169.30347499999999</v>
          </cell>
          <cell r="F54">
            <v>106.095625</v>
          </cell>
          <cell r="G54">
            <v>591.89</v>
          </cell>
          <cell r="H54">
            <v>2705.6577954545446</v>
          </cell>
          <cell r="I54">
            <v>96.965548863636357</v>
          </cell>
          <cell r="J54">
            <v>3246.7893545454535</v>
          </cell>
          <cell r="K54">
            <v>82.497963636363636</v>
          </cell>
          <cell r="L54">
            <v>3607.5437272727263</v>
          </cell>
          <cell r="M54">
            <v>72.852906818181822</v>
          </cell>
          <cell r="N54">
            <v>3968.2980999999991</v>
          </cell>
          <cell r="O54">
            <v>63.207849999999993</v>
          </cell>
          <cell r="P54">
            <v>1803.7718636363632</v>
          </cell>
          <cell r="Q54">
            <v>121.07819090909091</v>
          </cell>
          <cell r="R54">
            <v>1984.1490499999995</v>
          </cell>
          <cell r="S54">
            <v>116.2556625</v>
          </cell>
        </row>
        <row r="55">
          <cell r="A55" t="str">
            <v>MOTORISTA DE VEICULO DE SERVICO</v>
          </cell>
          <cell r="B55">
            <v>427</v>
          </cell>
          <cell r="C55">
            <v>2849.8051013700169</v>
          </cell>
          <cell r="D55">
            <v>96.788494613583197</v>
          </cell>
          <cell r="E55">
            <v>165.00437283372375</v>
          </cell>
          <cell r="F55">
            <v>68.21587822014051</v>
          </cell>
          <cell r="G55">
            <v>587.31077283372656</v>
          </cell>
          <cell r="H55">
            <v>1943.0489327522841</v>
          </cell>
          <cell r="I55">
            <v>118.49354677453704</v>
          </cell>
          <cell r="J55">
            <v>2331.6587193027412</v>
          </cell>
          <cell r="K55">
            <v>109.19138156269969</v>
          </cell>
          <cell r="L55">
            <v>2590.7319103363789</v>
          </cell>
          <cell r="M55">
            <v>102.98993808814147</v>
          </cell>
          <cell r="N55">
            <v>2849.8051013700169</v>
          </cell>
          <cell r="O55">
            <v>96.788494613583239</v>
          </cell>
          <cell r="P55">
            <v>1295.3659551681894</v>
          </cell>
          <cell r="Q55">
            <v>133.99715546093262</v>
          </cell>
          <cell r="R55">
            <v>1424.9025506850085</v>
          </cell>
          <cell r="S55">
            <v>130.8964337236535</v>
          </cell>
        </row>
        <row r="56">
          <cell r="A56" t="str">
            <v>MOTORISTA EXECUTIVO</v>
          </cell>
          <cell r="B56">
            <v>2</v>
          </cell>
          <cell r="C56">
            <v>3910.6845499999995</v>
          </cell>
          <cell r="D56">
            <v>0</v>
          </cell>
          <cell r="E56">
            <v>0</v>
          </cell>
          <cell r="F56">
            <v>0</v>
          </cell>
          <cell r="G56">
            <v>591.89</v>
          </cell>
          <cell r="H56">
            <v>2666.3758295454545</v>
          </cell>
          <cell r="I56">
            <v>0</v>
          </cell>
          <cell r="J56">
            <v>3199.6509954545454</v>
          </cell>
          <cell r="K56">
            <v>0</v>
          </cell>
          <cell r="L56">
            <v>3555.1677727272727</v>
          </cell>
          <cell r="M56">
            <v>0</v>
          </cell>
          <cell r="N56">
            <v>3910.6845499999999</v>
          </cell>
          <cell r="O56">
            <v>0</v>
          </cell>
          <cell r="P56">
            <v>1777.5838863636363</v>
          </cell>
          <cell r="Q56">
            <v>0</v>
          </cell>
          <cell r="R56">
            <v>1955.342275</v>
          </cell>
          <cell r="S56">
            <v>0</v>
          </cell>
        </row>
        <row r="57">
          <cell r="A57" t="str">
            <v>OPERADOR DE ACABAMENTO GRÁFICO</v>
          </cell>
          <cell r="B57">
            <v>2</v>
          </cell>
          <cell r="C57">
            <v>2615.5185375000001</v>
          </cell>
          <cell r="D57">
            <v>186.93</v>
          </cell>
          <cell r="E57">
            <v>343.86</v>
          </cell>
          <cell r="F57">
            <v>156.93</v>
          </cell>
          <cell r="G57">
            <v>551.58000000000004</v>
          </cell>
          <cell r="H57">
            <v>1783.3080937500001</v>
          </cell>
          <cell r="I57">
            <v>236.86227272727274</v>
          </cell>
          <cell r="J57">
            <v>2139.9697125000002</v>
          </cell>
          <cell r="K57">
            <v>215.46272727272728</v>
          </cell>
          <cell r="L57">
            <v>2377.7441250000002</v>
          </cell>
          <cell r="M57">
            <v>201.19636363636366</v>
          </cell>
          <cell r="N57">
            <v>2615.5185375000001</v>
          </cell>
          <cell r="O57">
            <v>186.93</v>
          </cell>
          <cell r="P57">
            <v>1188.8720625000001</v>
          </cell>
          <cell r="Q57">
            <v>272.52818181818185</v>
          </cell>
          <cell r="R57">
            <v>1307.75926875</v>
          </cell>
          <cell r="S57">
            <v>265.39499999999998</v>
          </cell>
        </row>
        <row r="58">
          <cell r="A58" t="str">
            <v>OPERADOR DE BARRAGEM</v>
          </cell>
          <cell r="B58">
            <v>12</v>
          </cell>
          <cell r="C58">
            <v>4008.9942749999996</v>
          </cell>
          <cell r="D58">
            <v>0</v>
          </cell>
          <cell r="E58">
            <v>0</v>
          </cell>
          <cell r="F58">
            <v>0</v>
          </cell>
          <cell r="G58">
            <v>551.58000000000004</v>
          </cell>
          <cell r="H58">
            <v>3644.5402499999991</v>
          </cell>
          <cell r="I58">
            <v>0</v>
          </cell>
          <cell r="J58">
            <v>3644.5402499999991</v>
          </cell>
          <cell r="K58">
            <v>0</v>
          </cell>
          <cell r="L58">
            <v>3644.5402499999991</v>
          </cell>
          <cell r="M58">
            <v>0</v>
          </cell>
          <cell r="N58">
            <v>3644.5402499999991</v>
          </cell>
          <cell r="O58">
            <v>0</v>
          </cell>
          <cell r="P58">
            <v>3644.5402499999991</v>
          </cell>
          <cell r="Q58">
            <v>0</v>
          </cell>
          <cell r="R58">
            <v>3644.5402499999991</v>
          </cell>
          <cell r="S58">
            <v>0</v>
          </cell>
        </row>
        <row r="59">
          <cell r="A59" t="str">
            <v>OPERADOR DE CALDEIRA</v>
          </cell>
          <cell r="B59">
            <v>6</v>
          </cell>
          <cell r="C59">
            <v>2604.5583750000001</v>
          </cell>
          <cell r="D59">
            <v>198.00986666666668</v>
          </cell>
          <cell r="E59">
            <v>329.46986666666669</v>
          </cell>
          <cell r="F59">
            <v>131.46</v>
          </cell>
          <cell r="G59">
            <v>551.58000000000004</v>
          </cell>
          <cell r="H59">
            <v>1775.8352556818181</v>
          </cell>
          <cell r="I59">
            <v>239.83804848484851</v>
          </cell>
          <cell r="J59">
            <v>2131.0023068181818</v>
          </cell>
          <cell r="K59">
            <v>221.91168484848487</v>
          </cell>
          <cell r="L59">
            <v>2367.7803409090911</v>
          </cell>
          <cell r="M59">
            <v>209.96077575757579</v>
          </cell>
          <cell r="N59">
            <v>2604.5583750000001</v>
          </cell>
          <cell r="O59">
            <v>198.00986666666668</v>
          </cell>
          <cell r="P59">
            <v>1183.8901704545456</v>
          </cell>
          <cell r="Q59">
            <v>269.71532121212124</v>
          </cell>
          <cell r="R59">
            <v>1302.2791875</v>
          </cell>
          <cell r="S59">
            <v>263.73986666666667</v>
          </cell>
        </row>
        <row r="60">
          <cell r="A60" t="str">
            <v>OPERADOR DE CFTV</v>
          </cell>
          <cell r="B60">
            <v>90</v>
          </cell>
          <cell r="C60">
            <v>2569.3032111728389</v>
          </cell>
          <cell r="D60">
            <v>347.56544444444438</v>
          </cell>
          <cell r="E60">
            <v>470.28799999999984</v>
          </cell>
          <cell r="F60">
            <v>122.72255555555566</v>
          </cell>
          <cell r="G60">
            <v>551.58000000000118</v>
          </cell>
          <cell r="H60">
            <v>1751.7976439814811</v>
          </cell>
          <cell r="I60">
            <v>386.61353030303007</v>
          </cell>
          <cell r="J60">
            <v>2102.1571727777773</v>
          </cell>
          <cell r="K60">
            <v>369.87863636363613</v>
          </cell>
          <cell r="L60">
            <v>2335.7301919753081</v>
          </cell>
          <cell r="M60">
            <v>358.72204040404017</v>
          </cell>
          <cell r="N60">
            <v>2569.3032111728389</v>
          </cell>
          <cell r="O60">
            <v>347.56544444444415</v>
          </cell>
          <cell r="P60">
            <v>1167.8650959876541</v>
          </cell>
          <cell r="Q60">
            <v>414.50502020201998</v>
          </cell>
          <cell r="R60">
            <v>1284.6516055864195</v>
          </cell>
          <cell r="S60">
            <v>408.926722222222</v>
          </cell>
        </row>
        <row r="61">
          <cell r="A61" t="str">
            <v>OPERADOR DE EMPILHADEIRA</v>
          </cell>
          <cell r="B61">
            <v>3</v>
          </cell>
          <cell r="C61">
            <v>2622.7742499999999</v>
          </cell>
          <cell r="D61">
            <v>554.69666666666672</v>
          </cell>
          <cell r="E61">
            <v>712.06666666666661</v>
          </cell>
          <cell r="F61">
            <v>157.37</v>
          </cell>
          <cell r="G61">
            <v>551.58000000000004</v>
          </cell>
          <cell r="H61">
            <v>1788.2551704545454</v>
          </cell>
          <cell r="I61">
            <v>604.76893939393938</v>
          </cell>
          <cell r="J61">
            <v>2145.9062045454543</v>
          </cell>
          <cell r="K61">
            <v>583.30939393939389</v>
          </cell>
          <cell r="L61">
            <v>2384.3402272727271</v>
          </cell>
          <cell r="M61">
            <v>569.0030303030303</v>
          </cell>
          <cell r="N61">
            <v>2622.7742499999999</v>
          </cell>
          <cell r="O61">
            <v>554.6966666666666</v>
          </cell>
          <cell r="P61">
            <v>1192.1701136363636</v>
          </cell>
          <cell r="Q61">
            <v>640.53484848484845</v>
          </cell>
          <cell r="R61">
            <v>1311.387125</v>
          </cell>
          <cell r="S61">
            <v>633.38166666666666</v>
          </cell>
        </row>
        <row r="62">
          <cell r="A62" t="str">
            <v>OPERADOR DE MÁQUINAS AGRÍCOLAS</v>
          </cell>
          <cell r="B62">
            <v>2</v>
          </cell>
          <cell r="C62">
            <v>2808.3751849999994</v>
          </cell>
          <cell r="D62">
            <v>174.25</v>
          </cell>
          <cell r="E62">
            <v>258.5</v>
          </cell>
          <cell r="F62">
            <v>84.25</v>
          </cell>
          <cell r="G62">
            <v>594.70000000000005</v>
          </cell>
          <cell r="H62">
            <v>1914.8012624999997</v>
          </cell>
          <cell r="I62">
            <v>201.05681818181819</v>
          </cell>
          <cell r="J62">
            <v>2297.7615149999997</v>
          </cell>
          <cell r="K62">
            <v>189.56818181818181</v>
          </cell>
          <cell r="L62">
            <v>2553.0683499999996</v>
          </cell>
          <cell r="M62">
            <v>181.90909090909091</v>
          </cell>
          <cell r="N62">
            <v>2808.3751849999994</v>
          </cell>
          <cell r="O62">
            <v>174.25</v>
          </cell>
          <cell r="P62">
            <v>1276.5341749999998</v>
          </cell>
          <cell r="Q62">
            <v>220.20454545454544</v>
          </cell>
          <cell r="R62">
            <v>1404.1875924999997</v>
          </cell>
          <cell r="S62">
            <v>216.375</v>
          </cell>
        </row>
        <row r="63">
          <cell r="A63" t="str">
            <v>OPERADOR DE POÇOS ARTESIANOS</v>
          </cell>
          <cell r="B63">
            <v>4</v>
          </cell>
          <cell r="C63">
            <v>2543.0065624999997</v>
          </cell>
          <cell r="D63">
            <v>4.99999999995282E-4</v>
          </cell>
          <cell r="E63">
            <v>36.527999999999999</v>
          </cell>
          <cell r="F63">
            <v>36.527500000000003</v>
          </cell>
          <cell r="G63">
            <v>551.58000000000004</v>
          </cell>
          <cell r="H63">
            <v>1733.8681107954544</v>
          </cell>
          <cell r="I63">
            <v>11.622886363636358</v>
          </cell>
          <cell r="J63">
            <v>2080.6417329545452</v>
          </cell>
          <cell r="K63">
            <v>6.641863636363631</v>
          </cell>
          <cell r="L63">
            <v>2311.8241477272727</v>
          </cell>
          <cell r="M63">
            <v>3.3211818181818131</v>
          </cell>
          <cell r="N63">
            <v>2543.0065624999997</v>
          </cell>
          <cell r="O63">
            <v>4.99999999995282E-4</v>
          </cell>
          <cell r="P63">
            <v>1155.9120738636364</v>
          </cell>
          <cell r="Q63">
            <v>19.924590909090906</v>
          </cell>
          <cell r="R63">
            <v>1271.5032812499999</v>
          </cell>
          <cell r="S63">
            <v>18.264249999999997</v>
          </cell>
        </row>
        <row r="64">
          <cell r="A64" t="str">
            <v>OPERADOR DE SOM E IMAGEM</v>
          </cell>
          <cell r="B64">
            <v>8</v>
          </cell>
          <cell r="C64">
            <v>2660.8357000000001</v>
          </cell>
          <cell r="D64">
            <v>153.73499999999996</v>
          </cell>
          <cell r="E64">
            <v>252.78</v>
          </cell>
          <cell r="F64">
            <v>99.045000000000002</v>
          </cell>
          <cell r="G64">
            <v>551.58000000000004</v>
          </cell>
          <cell r="H64">
            <v>1814.2061590909091</v>
          </cell>
          <cell r="I64">
            <v>185.24931818181818</v>
          </cell>
          <cell r="J64">
            <v>2177.0473909090911</v>
          </cell>
          <cell r="K64">
            <v>171.74318181818182</v>
          </cell>
          <cell r="L64">
            <v>2418.9415454545456</v>
          </cell>
          <cell r="M64">
            <v>162.73909090909092</v>
          </cell>
          <cell r="N64">
            <v>2660.8357000000001</v>
          </cell>
          <cell r="O64">
            <v>153.73500000000001</v>
          </cell>
          <cell r="P64">
            <v>1209.4707727272728</v>
          </cell>
          <cell r="Q64">
            <v>207.75954545454545</v>
          </cell>
          <cell r="R64">
            <v>1330.41785</v>
          </cell>
          <cell r="S64">
            <v>203.25749999999999</v>
          </cell>
        </row>
        <row r="65">
          <cell r="A65" t="str">
            <v>OPERADOR FABRIL</v>
          </cell>
          <cell r="B65">
            <v>1</v>
          </cell>
          <cell r="C65">
            <v>2510.6012250000003</v>
          </cell>
          <cell r="D65">
            <v>399.36</v>
          </cell>
          <cell r="E65">
            <v>550</v>
          </cell>
          <cell r="F65">
            <v>150.63999999999999</v>
          </cell>
          <cell r="G65">
            <v>551.58000000000004</v>
          </cell>
          <cell r="H65">
            <v>2282.3647500000002</v>
          </cell>
          <cell r="I65">
            <v>413.05454545454546</v>
          </cell>
          <cell r="J65">
            <v>2282.3647500000002</v>
          </cell>
          <cell r="K65">
            <v>413.05454545454546</v>
          </cell>
          <cell r="L65">
            <v>2282.3647500000002</v>
          </cell>
          <cell r="M65">
            <v>413.05454545454546</v>
          </cell>
          <cell r="N65">
            <v>2282.3647500000002</v>
          </cell>
          <cell r="O65">
            <v>413.05454545454546</v>
          </cell>
          <cell r="P65">
            <v>2282.3647500000002</v>
          </cell>
          <cell r="Q65">
            <v>413.05454545454546</v>
          </cell>
          <cell r="R65">
            <v>2282.3647500000002</v>
          </cell>
          <cell r="S65">
            <v>413.05454545454546</v>
          </cell>
        </row>
        <row r="66">
          <cell r="A66" t="str">
            <v>ORIENTADOR AMBIENTAL</v>
          </cell>
          <cell r="B66">
            <v>90</v>
          </cell>
          <cell r="C66">
            <v>2678.9096391666685</v>
          </cell>
          <cell r="D66">
            <v>234.87788888888903</v>
          </cell>
          <cell r="E66">
            <v>338.35511111111111</v>
          </cell>
          <cell r="F66">
            <v>103.47722222222215</v>
          </cell>
          <cell r="G66">
            <v>548.5880000000011</v>
          </cell>
          <cell r="H66">
            <v>1826.5292994318195</v>
          </cell>
          <cell r="I66">
            <v>267.80245959595965</v>
          </cell>
          <cell r="J66">
            <v>2191.8351593181833</v>
          </cell>
          <cell r="K66">
            <v>253.69192929292936</v>
          </cell>
          <cell r="L66">
            <v>2435.3723992424261</v>
          </cell>
          <cell r="M66">
            <v>244.28490909090917</v>
          </cell>
          <cell r="N66">
            <v>2678.9096391666685</v>
          </cell>
          <cell r="O66">
            <v>234.87788888888895</v>
          </cell>
          <cell r="P66">
            <v>1217.6861996212131</v>
          </cell>
          <cell r="Q66">
            <v>291.32001010101015</v>
          </cell>
          <cell r="R66">
            <v>1339.4548195833343</v>
          </cell>
          <cell r="S66">
            <v>286.61650000000003</v>
          </cell>
        </row>
        <row r="67">
          <cell r="A67" t="str">
            <v>PORTEIRO</v>
          </cell>
          <cell r="B67">
            <v>1649</v>
          </cell>
          <cell r="C67">
            <v>2357.0108214597344</v>
          </cell>
          <cell r="D67">
            <v>114.60132795633707</v>
          </cell>
          <cell r="E67">
            <v>191.42420254699857</v>
          </cell>
          <cell r="F67">
            <v>76.822914978775785</v>
          </cell>
          <cell r="G67">
            <v>546.92597938142876</v>
          </cell>
          <cell r="H67">
            <v>1607.0528328134553</v>
          </cell>
          <cell r="I67">
            <v>139.04494233419689</v>
          </cell>
          <cell r="J67">
            <v>1928.4633993761463</v>
          </cell>
          <cell r="K67">
            <v>128.56909029163657</v>
          </cell>
          <cell r="L67">
            <v>2142.7371104179406</v>
          </cell>
          <cell r="M67">
            <v>121.58518892992969</v>
          </cell>
          <cell r="N67">
            <v>2357.0108214597344</v>
          </cell>
          <cell r="O67">
            <v>114.60128756822279</v>
          </cell>
          <cell r="P67">
            <v>1071.3685552089703</v>
          </cell>
          <cell r="Q67">
            <v>156.50469573846414</v>
          </cell>
          <cell r="R67">
            <v>1178.5054107298672</v>
          </cell>
          <cell r="S67">
            <v>153.01274505761069</v>
          </cell>
        </row>
        <row r="68">
          <cell r="A68" t="str">
            <v>RECEPCIONISTA</v>
          </cell>
          <cell r="B68">
            <v>314</v>
          </cell>
          <cell r="C68">
            <v>3237.025661686117</v>
          </cell>
          <cell r="D68">
            <v>113.64067261146508</v>
          </cell>
          <cell r="E68">
            <v>224.1435070063695</v>
          </cell>
          <cell r="F68">
            <v>110.50283439490408</v>
          </cell>
          <cell r="G68">
            <v>549.99461783439313</v>
          </cell>
          <cell r="H68">
            <v>2207.0629511496254</v>
          </cell>
          <cell r="I68">
            <v>148.80066537348034</v>
          </cell>
          <cell r="J68">
            <v>2648.4755413795501</v>
          </cell>
          <cell r="K68">
            <v>133.73209704690254</v>
          </cell>
          <cell r="L68">
            <v>2942.7506015328336</v>
          </cell>
          <cell r="M68">
            <v>123.68638482918398</v>
          </cell>
          <cell r="N68">
            <v>3237.025661686117</v>
          </cell>
          <cell r="O68">
            <v>113.64067261146543</v>
          </cell>
          <cell r="P68">
            <v>1471.3753007664168</v>
          </cell>
          <cell r="Q68">
            <v>173.91494591777675</v>
          </cell>
          <cell r="R68">
            <v>1618.5128308430585</v>
          </cell>
          <cell r="S68">
            <v>168.89208980891746</v>
          </cell>
        </row>
        <row r="69">
          <cell r="A69" t="str">
            <v>SUPERVISOR DE SERVIÇO</v>
          </cell>
          <cell r="B69">
            <v>263</v>
          </cell>
          <cell r="C69">
            <v>3265.1356882129362</v>
          </cell>
          <cell r="D69">
            <v>163.30509505703424</v>
          </cell>
          <cell r="E69">
            <v>307.78418250950597</v>
          </cell>
          <cell r="F69">
            <v>144.47908745247173</v>
          </cell>
          <cell r="G69">
            <v>551.06806083650213</v>
          </cell>
          <cell r="H69">
            <v>2968.3051711026692</v>
          </cell>
          <cell r="I69">
            <v>176.43955755271347</v>
          </cell>
          <cell r="J69">
            <v>2968.3051711026692</v>
          </cell>
          <cell r="K69">
            <v>176.43955755271347</v>
          </cell>
          <cell r="L69">
            <v>2968.3051711026692</v>
          </cell>
          <cell r="M69">
            <v>176.43955755271347</v>
          </cell>
          <cell r="N69">
            <v>2968.3051711026692</v>
          </cell>
          <cell r="O69">
            <v>176.43955755271347</v>
          </cell>
          <cell r="P69">
            <v>2968.3051711026692</v>
          </cell>
          <cell r="Q69">
            <v>176.43955755271347</v>
          </cell>
          <cell r="R69">
            <v>2968.3051711026692</v>
          </cell>
          <cell r="S69">
            <v>176.43955755271347</v>
          </cell>
        </row>
        <row r="70">
          <cell r="A70" t="str">
            <v>SUPORTE ADMINISTRATIVO</v>
          </cell>
          <cell r="B70">
            <v>2993</v>
          </cell>
          <cell r="C70">
            <v>3052.3649856747788</v>
          </cell>
          <cell r="D70">
            <v>157.48825265619772</v>
          </cell>
          <cell r="E70">
            <v>274.23444543935761</v>
          </cell>
          <cell r="F70">
            <v>116.74619445372682</v>
          </cell>
          <cell r="G70">
            <v>548.8055061811026</v>
          </cell>
          <cell r="H70">
            <v>2081.1579447782583</v>
          </cell>
          <cell r="I70">
            <v>194.63476740272569</v>
          </cell>
          <cell r="J70">
            <v>2497.38953373391</v>
          </cell>
          <cell r="K70">
            <v>178.71483179539931</v>
          </cell>
          <cell r="L70">
            <v>2774.8772597043444</v>
          </cell>
          <cell r="M70">
            <v>168.10154139051505</v>
          </cell>
          <cell r="N70">
            <v>3052.3649856747788</v>
          </cell>
          <cell r="O70">
            <v>157.48825098563077</v>
          </cell>
          <cell r="P70">
            <v>1387.4386298521722</v>
          </cell>
          <cell r="Q70">
            <v>221.16799341493635</v>
          </cell>
          <cell r="R70">
            <v>1526.1824928373894</v>
          </cell>
          <cell r="S70">
            <v>215.86134821249419</v>
          </cell>
        </row>
        <row r="71">
          <cell r="A71" t="str">
            <v>TÉCNICO EM MANUTENÇÃO VEICULAR</v>
          </cell>
          <cell r="B71">
            <v>8</v>
          </cell>
          <cell r="C71">
            <v>3253.2225124999995</v>
          </cell>
          <cell r="D71">
            <v>136.82374999999996</v>
          </cell>
          <cell r="E71">
            <v>307.61500000000001</v>
          </cell>
          <cell r="F71">
            <v>170.79125000000002</v>
          </cell>
          <cell r="G71">
            <v>551.58000000000004</v>
          </cell>
          <cell r="H71">
            <v>2218.1062585227269</v>
          </cell>
          <cell r="I71">
            <v>191.16642045454546</v>
          </cell>
          <cell r="J71">
            <v>2661.7275102272724</v>
          </cell>
          <cell r="K71">
            <v>167.87670454545454</v>
          </cell>
          <cell r="L71">
            <v>2957.475011363636</v>
          </cell>
          <cell r="M71">
            <v>152.35022727272727</v>
          </cell>
          <cell r="N71">
            <v>3253.2225124999995</v>
          </cell>
          <cell r="O71">
            <v>136.82374999999999</v>
          </cell>
          <cell r="P71">
            <v>1478.737505681818</v>
          </cell>
          <cell r="Q71">
            <v>229.98261363636362</v>
          </cell>
          <cell r="R71">
            <v>1626.6112562499998</v>
          </cell>
          <cell r="S71">
            <v>222.21937500000001</v>
          </cell>
        </row>
        <row r="72">
          <cell r="A72" t="str">
            <v>TÉCNICO ESPECIALIZADO</v>
          </cell>
          <cell r="B72">
            <v>196</v>
          </cell>
          <cell r="C72">
            <v>3816.7366911116537</v>
          </cell>
          <cell r="D72">
            <v>103.4274908163266</v>
          </cell>
          <cell r="E72">
            <v>207.20334693877558</v>
          </cell>
          <cell r="F72">
            <v>103.77585612244883</v>
          </cell>
          <cell r="G72">
            <v>548.94596938775544</v>
          </cell>
          <cell r="H72">
            <v>2602.3204712124912</v>
          </cell>
          <cell r="I72">
            <v>136.44708140074229</v>
          </cell>
          <cell r="J72">
            <v>3122.7845654549892</v>
          </cell>
          <cell r="K72">
            <v>122.29582829313563</v>
          </cell>
          <cell r="L72">
            <v>3469.7606282833212</v>
          </cell>
          <cell r="M72">
            <v>112.86165955473119</v>
          </cell>
          <cell r="N72">
            <v>3816.7366911116533</v>
          </cell>
          <cell r="O72">
            <v>103.42749081632675</v>
          </cell>
          <cell r="P72">
            <v>1734.8803141416606</v>
          </cell>
          <cell r="Q72">
            <v>160.03250324675338</v>
          </cell>
          <cell r="R72">
            <v>1908.3683455558266</v>
          </cell>
          <cell r="S72">
            <v>155.31541887755117</v>
          </cell>
        </row>
        <row r="73">
          <cell r="A73" t="str">
            <v>TÉCNICO FABRIL</v>
          </cell>
          <cell r="B73">
            <v>2</v>
          </cell>
          <cell r="C73">
            <v>3566.7392749999995</v>
          </cell>
          <cell r="D73">
            <v>336</v>
          </cell>
          <cell r="E73">
            <v>550</v>
          </cell>
          <cell r="F73">
            <v>214</v>
          </cell>
          <cell r="G73">
            <v>551.58000000000004</v>
          </cell>
          <cell r="H73">
            <v>3242.4902499999994</v>
          </cell>
          <cell r="I73">
            <v>355.45454545454544</v>
          </cell>
          <cell r="J73">
            <v>3242.4902499999994</v>
          </cell>
          <cell r="K73">
            <v>355.45454545454544</v>
          </cell>
          <cell r="L73">
            <v>3242.4902499999994</v>
          </cell>
          <cell r="M73">
            <v>355.45454545454544</v>
          </cell>
          <cell r="N73">
            <v>3242.4902499999994</v>
          </cell>
          <cell r="O73">
            <v>355.45454545454544</v>
          </cell>
          <cell r="P73">
            <v>3242.4902499999994</v>
          </cell>
          <cell r="Q73">
            <v>355.45454545454544</v>
          </cell>
          <cell r="R73">
            <v>3242.4902499999994</v>
          </cell>
          <cell r="S73">
            <v>355.45454545454544</v>
          </cell>
        </row>
        <row r="74">
          <cell r="A74" t="str">
            <v>TÉCNICO HIDROMETRISTA</v>
          </cell>
          <cell r="B74">
            <v>3</v>
          </cell>
          <cell r="C74">
            <v>3047.5153499999997</v>
          </cell>
          <cell r="D74">
            <v>30.716666666666669</v>
          </cell>
          <cell r="E74">
            <v>91.666666666666671</v>
          </cell>
          <cell r="F74">
            <v>60.949999999999996</v>
          </cell>
          <cell r="G74">
            <v>551.58000000000004</v>
          </cell>
          <cell r="H74">
            <v>2077.8513749999997</v>
          </cell>
          <cell r="I74">
            <v>50.109848484848492</v>
          </cell>
          <cell r="J74">
            <v>2493.4216499999998</v>
          </cell>
          <cell r="K74">
            <v>41.798484848484854</v>
          </cell>
          <cell r="L74">
            <v>2770.4684999999999</v>
          </cell>
          <cell r="M74">
            <v>36.257575757575765</v>
          </cell>
          <cell r="N74">
            <v>3047.5153499999997</v>
          </cell>
          <cell r="O74">
            <v>30.716666666666676</v>
          </cell>
          <cell r="P74">
            <v>1385.23425</v>
          </cell>
          <cell r="Q74">
            <v>63.962121212121218</v>
          </cell>
          <cell r="R74">
            <v>1523.7576749999998</v>
          </cell>
          <cell r="S74">
            <v>61.191666666666677</v>
          </cell>
        </row>
        <row r="75">
          <cell r="A75" t="str">
            <v>TELEDIGIFONISTA</v>
          </cell>
          <cell r="B75">
            <v>347</v>
          </cell>
          <cell r="C75">
            <v>3529.1991697646295</v>
          </cell>
          <cell r="D75">
            <v>274.37919308357306</v>
          </cell>
          <cell r="E75">
            <v>441.39077809798187</v>
          </cell>
          <cell r="F75">
            <v>167.01158501440975</v>
          </cell>
          <cell r="G75">
            <v>613.1400000000051</v>
          </cell>
          <cell r="H75">
            <v>2406.2721612031564</v>
          </cell>
          <cell r="I75">
            <v>327.51924286088433</v>
          </cell>
          <cell r="J75">
            <v>2887.526593443788</v>
          </cell>
          <cell r="K75">
            <v>304.74493581346485</v>
          </cell>
          <cell r="L75">
            <v>3208.3628816042087</v>
          </cell>
          <cell r="M75">
            <v>289.56206444851847</v>
          </cell>
          <cell r="N75">
            <v>3529.1991697646295</v>
          </cell>
          <cell r="O75">
            <v>274.37919308357209</v>
          </cell>
          <cell r="P75">
            <v>1604.1814408021044</v>
          </cell>
          <cell r="Q75">
            <v>365.47642127325014</v>
          </cell>
          <cell r="R75">
            <v>1764.5995848823147</v>
          </cell>
          <cell r="S75">
            <v>357.88498559077698</v>
          </cell>
        </row>
        <row r="76">
          <cell r="A76" t="str">
            <v>TELEFONISTA</v>
          </cell>
          <cell r="B76">
            <v>73</v>
          </cell>
          <cell r="C76">
            <v>3517.806820100453</v>
          </cell>
          <cell r="D76">
            <v>156.39575342465744</v>
          </cell>
          <cell r="E76">
            <v>307.19534246575353</v>
          </cell>
          <cell r="F76">
            <v>150.79958904109603</v>
          </cell>
          <cell r="G76">
            <v>613.13999999999965</v>
          </cell>
          <cell r="H76">
            <v>2398.5046500684907</v>
          </cell>
          <cell r="I76">
            <v>204.37744084682441</v>
          </cell>
          <cell r="J76">
            <v>2878.205580082189</v>
          </cell>
          <cell r="K76">
            <v>183.81386052303858</v>
          </cell>
          <cell r="L76">
            <v>3198.0062000913213</v>
          </cell>
          <cell r="M76">
            <v>170.10480697384804</v>
          </cell>
          <cell r="N76">
            <v>3517.806820100453</v>
          </cell>
          <cell r="O76">
            <v>156.3957534246575</v>
          </cell>
          <cell r="P76">
            <v>1599.0031000456606</v>
          </cell>
          <cell r="Q76">
            <v>238.65007471980078</v>
          </cell>
          <cell r="R76">
            <v>1758.9034100502265</v>
          </cell>
          <cell r="S76">
            <v>231.7955479452055</v>
          </cell>
        </row>
        <row r="77">
          <cell r="A77" t="str">
            <v>TRABALHADOR AGRÍCOLA</v>
          </cell>
          <cell r="B77">
            <v>2</v>
          </cell>
          <cell r="C77">
            <v>2462.9724500000002</v>
          </cell>
          <cell r="D77">
            <v>63.055000000000007</v>
          </cell>
          <cell r="E77">
            <v>137.5</v>
          </cell>
          <cell r="F77">
            <v>74.444999999999993</v>
          </cell>
          <cell r="G77">
            <v>551.58000000000004</v>
          </cell>
          <cell r="H77">
            <v>1679.2993977272729</v>
          </cell>
          <cell r="I77">
            <v>86.742045454545462</v>
          </cell>
          <cell r="J77">
            <v>2015.1592772727276</v>
          </cell>
          <cell r="K77">
            <v>76.590454545454548</v>
          </cell>
          <cell r="L77">
            <v>2239.0658636363642</v>
          </cell>
          <cell r="M77">
            <v>69.822727272727278</v>
          </cell>
          <cell r="N77">
            <v>2462.9724500000002</v>
          </cell>
          <cell r="O77">
            <v>63.055000000000007</v>
          </cell>
          <cell r="P77">
            <v>1119.5329318181821</v>
          </cell>
          <cell r="Q77">
            <v>103.66136363636363</v>
          </cell>
          <cell r="R77">
            <v>1231.4862250000001</v>
          </cell>
          <cell r="S77">
            <v>100.2775</v>
          </cell>
        </row>
        <row r="78">
          <cell r="A78" t="str">
            <v>TRABALHADOR DA IMPRESSÃO GRÁFICA</v>
          </cell>
          <cell r="B78">
            <v>1</v>
          </cell>
          <cell r="C78">
            <v>2427.3295750000002</v>
          </cell>
          <cell r="D78">
            <v>619.95999999999992</v>
          </cell>
          <cell r="E78">
            <v>765.59999999999991</v>
          </cell>
          <cell r="F78">
            <v>145.63999999999999</v>
          </cell>
          <cell r="G78">
            <v>551.58000000000004</v>
          </cell>
          <cell r="H78">
            <v>1654.9974375000002</v>
          </cell>
          <cell r="I78">
            <v>666.3</v>
          </cell>
          <cell r="J78">
            <v>1985.9969250000001</v>
          </cell>
          <cell r="K78">
            <v>646.43999999999994</v>
          </cell>
          <cell r="L78">
            <v>2206.6632500000001</v>
          </cell>
          <cell r="M78">
            <v>633.19999999999993</v>
          </cell>
          <cell r="N78">
            <v>2427.3295750000002</v>
          </cell>
          <cell r="O78">
            <v>619.95999999999992</v>
          </cell>
          <cell r="P78">
            <v>1103.331625</v>
          </cell>
          <cell r="Q78">
            <v>699.39999999999986</v>
          </cell>
          <cell r="R78">
            <v>1213.6647875000001</v>
          </cell>
          <cell r="S78">
            <v>692.78</v>
          </cell>
        </row>
        <row r="79">
          <cell r="A79" t="str">
            <v>TRABALHADOR DA MANUTENÇÃO PREDIAL E INSTALAÇÕES</v>
          </cell>
          <cell r="B79">
            <v>182</v>
          </cell>
          <cell r="C79">
            <v>2754.2495376098846</v>
          </cell>
          <cell r="D79">
            <v>201.79439560439556</v>
          </cell>
          <cell r="E79">
            <v>295.38967032967042</v>
          </cell>
          <cell r="F79">
            <v>93.595274725274848</v>
          </cell>
          <cell r="G79">
            <v>549.14890109890246</v>
          </cell>
          <cell r="H79">
            <v>1877.8974120067396</v>
          </cell>
          <cell r="I79">
            <v>231.57471028971031</v>
          </cell>
          <cell r="J79">
            <v>2253.4768944080874</v>
          </cell>
          <cell r="K79">
            <v>218.81171828171827</v>
          </cell>
          <cell r="L79">
            <v>2503.863216008986</v>
          </cell>
          <cell r="M79">
            <v>210.30305694305693</v>
          </cell>
          <cell r="N79">
            <v>2754.2495376098846</v>
          </cell>
          <cell r="O79">
            <v>201.79439560439556</v>
          </cell>
          <cell r="P79">
            <v>1251.931608004493</v>
          </cell>
          <cell r="Q79">
            <v>252.84636363636366</v>
          </cell>
          <cell r="R79">
            <v>1377.1247688049423</v>
          </cell>
          <cell r="S79">
            <v>248.59203296703299</v>
          </cell>
        </row>
        <row r="80">
          <cell r="A80" t="str">
            <v>TRATADOR DE ANIMAIS</v>
          </cell>
          <cell r="B80">
            <v>5</v>
          </cell>
          <cell r="C80">
            <v>2570.5184999999997</v>
          </cell>
          <cell r="D80">
            <v>61.510400000000004</v>
          </cell>
          <cell r="E80">
            <v>145.42359999999999</v>
          </cell>
          <cell r="F80">
            <v>83.913999999999987</v>
          </cell>
          <cell r="G80">
            <v>551.58000000000004</v>
          </cell>
          <cell r="H80">
            <v>1752.6262499999998</v>
          </cell>
          <cell r="I80">
            <v>88.209509090909094</v>
          </cell>
          <cell r="J80">
            <v>2103.1514999999995</v>
          </cell>
          <cell r="K80">
            <v>76.766690909090912</v>
          </cell>
          <cell r="L80">
            <v>2336.8349999999996</v>
          </cell>
          <cell r="M80">
            <v>69.138145454545466</v>
          </cell>
          <cell r="N80">
            <v>2570.5184999999997</v>
          </cell>
          <cell r="O80">
            <v>61.509600000000006</v>
          </cell>
          <cell r="P80">
            <v>1168.4174999999998</v>
          </cell>
          <cell r="Q80">
            <v>107.28087272727274</v>
          </cell>
          <cell r="R80">
            <v>1285.2592499999998</v>
          </cell>
          <cell r="S80">
            <v>103.4666</v>
          </cell>
        </row>
        <row r="81">
          <cell r="A81" t="str">
            <v>VIGIA DE PARQUE</v>
          </cell>
          <cell r="B81">
            <v>38</v>
          </cell>
          <cell r="C81">
            <v>2575.3514736842117</v>
          </cell>
          <cell r="D81">
            <v>149.874</v>
          </cell>
          <cell r="E81">
            <v>227.26610526315787</v>
          </cell>
          <cell r="F81">
            <v>77.392105263157916</v>
          </cell>
          <cell r="G81">
            <v>551.58000000000038</v>
          </cell>
          <cell r="H81">
            <v>1755.9214593301442</v>
          </cell>
          <cell r="I81">
            <v>174.4987607655502</v>
          </cell>
          <cell r="J81">
            <v>2107.1057511961731</v>
          </cell>
          <cell r="K81">
            <v>163.94529186602867</v>
          </cell>
          <cell r="L81">
            <v>2341.2286124401921</v>
          </cell>
          <cell r="M81">
            <v>156.9096459330143</v>
          </cell>
          <cell r="N81">
            <v>2575.3514736842117</v>
          </cell>
          <cell r="O81">
            <v>149.87399999999997</v>
          </cell>
          <cell r="P81">
            <v>1170.6143062200961</v>
          </cell>
          <cell r="Q81">
            <v>192.0878755980861</v>
          </cell>
          <cell r="R81">
            <v>1287.6757368421058</v>
          </cell>
          <cell r="S81">
            <v>188.5700526315789</v>
          </cell>
        </row>
        <row r="82">
          <cell r="A82" t="str">
            <v>AUXILIAR DE APOIO AO EDUCANDO</v>
          </cell>
          <cell r="B82">
            <v>1</v>
          </cell>
          <cell r="C82">
            <v>2176.1224999999999</v>
          </cell>
          <cell r="D82">
            <v>419.43264999999997</v>
          </cell>
          <cell r="E82">
            <v>550</v>
          </cell>
          <cell r="F82">
            <v>130.56735</v>
          </cell>
          <cell r="G82">
            <v>551.58400000000006</v>
          </cell>
          <cell r="H82">
            <v>1483.7198863636363</v>
          </cell>
          <cell r="I82">
            <v>460.97680681818179</v>
          </cell>
          <cell r="J82">
            <v>1780.4638636363636</v>
          </cell>
          <cell r="K82">
            <v>443.17216818181817</v>
          </cell>
          <cell r="L82">
            <v>1978.2931818181819</v>
          </cell>
          <cell r="M82">
            <v>431.30240909090912</v>
          </cell>
          <cell r="N82">
            <v>2176.1224999999999</v>
          </cell>
          <cell r="O82">
            <v>419.43264999999997</v>
          </cell>
          <cell r="P82">
            <v>989.14659090909095</v>
          </cell>
          <cell r="Q82">
            <v>490.65120454545456</v>
          </cell>
          <cell r="R82">
            <v>1088.06125</v>
          </cell>
          <cell r="S82">
            <v>484.71632499999998</v>
          </cell>
        </row>
        <row r="83">
          <cell r="A83" t="str">
            <v>ASSESSOR ESPECIALIZADO</v>
          </cell>
          <cell r="B83">
            <v>1</v>
          </cell>
          <cell r="C83">
            <v>12851.65</v>
          </cell>
          <cell r="D83">
            <v>0</v>
          </cell>
          <cell r="E83">
            <v>550</v>
          </cell>
          <cell r="F83">
            <v>771.09899999999993</v>
          </cell>
          <cell r="G83">
            <v>551.58400000000006</v>
          </cell>
          <cell r="H83">
            <v>12851.65</v>
          </cell>
          <cell r="I83">
            <v>0</v>
          </cell>
          <cell r="J83">
            <v>12851.65</v>
          </cell>
          <cell r="K83">
            <v>0</v>
          </cell>
          <cell r="L83">
            <v>12851.65</v>
          </cell>
          <cell r="M83">
            <v>0</v>
          </cell>
          <cell r="N83">
            <v>12851.65</v>
          </cell>
          <cell r="O83">
            <v>0</v>
          </cell>
          <cell r="P83">
            <v>12851.65</v>
          </cell>
          <cell r="Q83">
            <v>0</v>
          </cell>
          <cell r="R83">
            <v>12851.65</v>
          </cell>
          <cell r="S83">
            <v>0</v>
          </cell>
        </row>
        <row r="84">
          <cell r="A84" t="str">
            <v>Total Geral</v>
          </cell>
          <cell r="B84">
            <v>12084</v>
          </cell>
          <cell r="C84">
            <v>3106.6227277057756</v>
          </cell>
          <cell r="D84">
            <v>157.21632874875505</v>
          </cell>
          <cell r="E84">
            <v>252.89421744455359</v>
          </cell>
          <cell r="F84">
            <v>95.67789518371228</v>
          </cell>
          <cell r="G84">
            <v>551.97344836152001</v>
          </cell>
        </row>
      </sheetData>
      <sheetData sheetId="1">
        <row r="1">
          <cell r="A1" t="str">
            <v>CHAVE</v>
          </cell>
          <cell r="B1" t="str">
            <v>PS MGS</v>
          </cell>
          <cell r="C1" t="str">
            <v>CATMAS</v>
          </cell>
          <cell r="D1" t="str">
            <v>DESCRIÇÃO CATMAS</v>
          </cell>
          <cell r="E1" t="str">
            <v>CH</v>
          </cell>
          <cell r="F1" t="str">
            <v>REF PLAN CATMAS</v>
          </cell>
          <cell r="G1" t="str">
            <v>MGS</v>
          </cell>
        </row>
        <row r="2">
          <cell r="A2" t="str">
            <v>14097040</v>
          </cell>
          <cell r="B2">
            <v>1698</v>
          </cell>
          <cell r="C2">
            <v>140970</v>
          </cell>
          <cell r="D2" t="str">
            <v>AGENTE DE CAMPO (PERICULOSIDADE) DIARISTA DIURNO - 40 H</v>
          </cell>
          <cell r="E2">
            <v>40</v>
          </cell>
          <cell r="F2" t="e">
            <v>#N/A</v>
          </cell>
          <cell r="G2" t="str">
            <v>AGENTE DE CAMPO - (PERIC.) - DIARISTA DIURNO - 40H</v>
          </cell>
        </row>
        <row r="3">
          <cell r="A3" t="str">
            <v>14161540</v>
          </cell>
          <cell r="B3">
            <v>1699</v>
          </cell>
          <cell r="C3">
            <v>141615</v>
          </cell>
          <cell r="D3" t="str">
            <v>AGENTE DE CAMPO - (SEM PERICULOSIDADE) - DIARISTA DIURNO - 40 HORAS</v>
          </cell>
          <cell r="E3">
            <v>40</v>
          </cell>
          <cell r="F3" t="e">
            <v>#N/A</v>
          </cell>
          <cell r="G3" t="str">
            <v>AGENTE DE CAMPO - DIARISTA DIURNO - 40H</v>
          </cell>
        </row>
        <row r="4">
          <cell r="A4" t="str">
            <v>9511744</v>
          </cell>
          <cell r="B4">
            <v>389</v>
          </cell>
          <cell r="C4">
            <v>95117</v>
          </cell>
          <cell r="D4" t="str">
            <v>AGENTE DE SERVICO DE PARQUE HABILITADO - (PERICULOSIDADE) - 44H</v>
          </cell>
          <cell r="E4">
            <v>44</v>
          </cell>
          <cell r="F4" t="e">
            <v>#N/A</v>
          </cell>
          <cell r="G4" t="str">
            <v>AGENTE DE SERVIÇO DE PARQUE HABILITADO - (PERIC.) - DIARISTA DIURNO - 44H</v>
          </cell>
        </row>
        <row r="5">
          <cell r="A5" t="str">
            <v>9512544</v>
          </cell>
          <cell r="B5">
            <v>390</v>
          </cell>
          <cell r="C5">
            <v>95125</v>
          </cell>
          <cell r="D5" t="str">
            <v>AGENTE DE SERVICO DE PARQUE HABILITADO - 12X36 DIURNO - 44H</v>
          </cell>
          <cell r="E5">
            <v>44</v>
          </cell>
          <cell r="F5" t="e">
            <v>#N/A</v>
          </cell>
          <cell r="G5" t="str">
            <v>AGENTE DE SERVIÇO DE PARQUE HABILITADO - 12x36 DIURNO - 44H</v>
          </cell>
        </row>
        <row r="6">
          <cell r="A6" t="str">
            <v>9513344</v>
          </cell>
          <cell r="B6">
            <v>392</v>
          </cell>
          <cell r="C6">
            <v>95133</v>
          </cell>
          <cell r="D6" t="str">
            <v>AGENTE DE SERVICO DE PARQUE HABILITADO - 12X36 DIURNO (PERICULOSIDADE) - 44H</v>
          </cell>
          <cell r="E6">
            <v>44</v>
          </cell>
          <cell r="F6" t="e">
            <v>#N/A</v>
          </cell>
          <cell r="G6" t="str">
            <v>AGENTE DE SERVIÇO DE PARQUE HABILITADO - (PERIC.) - 12x36 DIURNO - 44H</v>
          </cell>
        </row>
        <row r="7">
          <cell r="A7" t="str">
            <v>9514144</v>
          </cell>
          <cell r="B7">
            <v>393</v>
          </cell>
          <cell r="C7">
            <v>95141</v>
          </cell>
          <cell r="D7" t="str">
            <v>AGENTE DE SERVIÇO DE PARQUE HABILITADO - 12X36 NOTURNO (PERICULOSIDADE) - 44H</v>
          </cell>
          <cell r="E7">
            <v>44</v>
          </cell>
          <cell r="F7" t="e">
            <v>#N/A</v>
          </cell>
          <cell r="G7" t="str">
            <v>AGENTE DE SERVIÇO DE PARQUE HABILITADO - (PERIC.) - 12x36 NOTURNO - 44H</v>
          </cell>
        </row>
        <row r="8">
          <cell r="A8" t="str">
            <v>9510944</v>
          </cell>
          <cell r="B8">
            <v>388</v>
          </cell>
          <cell r="C8">
            <v>95109</v>
          </cell>
          <cell r="D8" t="str">
            <v>AGENTE DE SERVICO DE PARQUE HABILITADO - 44H</v>
          </cell>
          <cell r="E8">
            <v>44</v>
          </cell>
          <cell r="F8" t="e">
            <v>#N/A</v>
          </cell>
          <cell r="G8" t="str">
            <v>AGENTE DE SERVIÇO DE PARQUE HABILITADO - DIARISTA DIURNO - 44H</v>
          </cell>
        </row>
        <row r="9">
          <cell r="A9" t="str">
            <v>10640244</v>
          </cell>
          <cell r="B9">
            <v>409</v>
          </cell>
          <cell r="C9">
            <v>106402</v>
          </cell>
          <cell r="D9" t="str">
            <v>ANALISTA ESPECIALIZADO EM CIENCIAS EXATAS E DA TERRA I -    12X36 DIURNO - (EXCLUSIVO SEJUSP) - 44H</v>
          </cell>
          <cell r="E9">
            <v>44</v>
          </cell>
          <cell r="F9" t="e">
            <v>#N/A</v>
          </cell>
          <cell r="G9" t="str">
            <v>ANALISTA ESPECIALIZADO EM CIÊNCIAS EXATAS E DA TERRA I (EXCLUSIVO SEJUSP) - 12x36 DIURNO - 44H</v>
          </cell>
        </row>
        <row r="10">
          <cell r="A10" t="str">
            <v>10641044</v>
          </cell>
          <cell r="B10">
            <v>410</v>
          </cell>
          <cell r="C10">
            <v>106410</v>
          </cell>
          <cell r="D10" t="str">
            <v>ANALISTA ESPECIALIZADO EM CIENCIAS EXATAS E DA TERRA I - 12X36 NOTURNO - (EXCLUSIVO SEJUSP) - 44H</v>
          </cell>
          <cell r="E10">
            <v>44</v>
          </cell>
          <cell r="F10" t="e">
            <v>#N/A</v>
          </cell>
          <cell r="G10" t="str">
            <v>ANALISTA ESPECIALIZADO EM CIÊNCIAS EXATAS E DA TERRA I (EXCLUSIVO SEJUSP) - 12x36 NOTURNO - 44H</v>
          </cell>
        </row>
        <row r="11">
          <cell r="A11" t="str">
            <v>10642940</v>
          </cell>
          <cell r="B11">
            <v>346</v>
          </cell>
          <cell r="C11">
            <v>106429</v>
          </cell>
          <cell r="D11" t="str">
            <v>ANALISTA ESPECIALIZADO EM CIENCIAS EXATAS E DA TERRA I- 30H,36H, 40H OU 44H</v>
          </cell>
          <cell r="E11">
            <v>40</v>
          </cell>
          <cell r="F11" t="e">
            <v>#N/A</v>
          </cell>
          <cell r="G11" t="str">
            <v>ANALISTA ESPECIALIZADO EM CIÊNCIAS EXATAS E DA TERRA I - DIARISTA DIURNO - 40H</v>
          </cell>
        </row>
        <row r="12">
          <cell r="A12" t="str">
            <v>10642944</v>
          </cell>
          <cell r="B12">
            <v>347</v>
          </cell>
          <cell r="C12">
            <v>106429</v>
          </cell>
          <cell r="D12" t="str">
            <v>ANALISTA ESPECIALIZADO EM CIENCIAS EXATAS E DA TERRA I- 30H,36H, 40H OU 44H</v>
          </cell>
          <cell r="E12">
            <v>44</v>
          </cell>
          <cell r="F12" t="e">
            <v>#N/A</v>
          </cell>
          <cell r="G12" t="str">
            <v>ANALISTA ESPECIALIZADO EM CIÊNCIAS EXATAS E DA TERRA I - DIARISTA DIURNO - 44H</v>
          </cell>
        </row>
        <row r="13">
          <cell r="A13" t="str">
            <v>11770644</v>
          </cell>
          <cell r="B13">
            <v>1359</v>
          </cell>
          <cell r="C13">
            <v>117706</v>
          </cell>
          <cell r="D13" t="str">
            <v>ANALISTA ESPECIALIZADO EM CIENCIAS HUMANAS - 12X36 NOTURNO - 44H</v>
          </cell>
          <cell r="E13">
            <v>44</v>
          </cell>
          <cell r="F13" t="e">
            <v>#N/A</v>
          </cell>
          <cell r="G13" t="str">
            <v>ANALISTA ESPECIALIZADO EM CIÊNCIAS HUMANAS - 12x36 NOTURNO - 44H</v>
          </cell>
        </row>
        <row r="14">
          <cell r="A14" t="str">
            <v>10643730</v>
          </cell>
          <cell r="B14">
            <v>352</v>
          </cell>
          <cell r="C14">
            <v>106437</v>
          </cell>
          <cell r="D14" t="str">
            <v>ANALISTA ESPECIALIZADO EM CIENCIAS HUMANAS - 30H, 36H, 40H E 44H.</v>
          </cell>
          <cell r="E14">
            <v>30</v>
          </cell>
          <cell r="F14" t="e">
            <v>#N/A</v>
          </cell>
          <cell r="G14" t="str">
            <v>ANALISTA ESPECIALIZADO EM CIÊNCIAS HUMANAS - DIARISTA DIURNO - 30H</v>
          </cell>
        </row>
        <row r="15">
          <cell r="A15" t="str">
            <v>10643740</v>
          </cell>
          <cell r="B15">
            <v>354</v>
          </cell>
          <cell r="C15">
            <v>106437</v>
          </cell>
          <cell r="D15" t="str">
            <v>ANALISTA ESPECIALIZADO EM CIENCIAS HUMANAS - 30H, 36H, 40H E 44H.</v>
          </cell>
          <cell r="E15">
            <v>40</v>
          </cell>
          <cell r="F15" t="e">
            <v>#N/A</v>
          </cell>
          <cell r="G15" t="str">
            <v>ANALISTA ESPECIALIZADO EM CIÊNCIAS HUMANAS - DIARISTA DIURNO - 40H</v>
          </cell>
        </row>
        <row r="16">
          <cell r="A16" t="str">
            <v>10643744</v>
          </cell>
          <cell r="B16">
            <v>355</v>
          </cell>
          <cell r="C16">
            <v>106437</v>
          </cell>
          <cell r="D16" t="str">
            <v>ANALISTA ESPECIALIZADO EM CIENCIAS HUMANAS - 30H, 36H, 40H E 44H.</v>
          </cell>
          <cell r="E16">
            <v>44</v>
          </cell>
          <cell r="F16" t="e">
            <v>#N/A</v>
          </cell>
          <cell r="G16" t="str">
            <v>ANALISTA ESPECIALIZADO EM CIÊNCIAS HUMANAS - DIARISTA DIURNO - 44H</v>
          </cell>
        </row>
        <row r="17">
          <cell r="A17" t="str">
            <v>10644540</v>
          </cell>
          <cell r="B17">
            <v>330</v>
          </cell>
          <cell r="C17">
            <v>106445</v>
          </cell>
          <cell r="D17" t="str">
            <v>ANALISTA ESPECIALIZADO EM CIENCIAS SOCIAIS APLICADAS I - 30H36H, 40H OU 44H</v>
          </cell>
          <cell r="E17">
            <v>40</v>
          </cell>
          <cell r="F17" t="e">
            <v>#N/A</v>
          </cell>
          <cell r="G17" t="str">
            <v>ANALISTA ESPECIALIZADO EM CIÊNCIAS SOCIAIS APLICADAS I - DIARISTA DIURNO - 40H</v>
          </cell>
        </row>
        <row r="18">
          <cell r="A18" t="str">
            <v>10644544</v>
          </cell>
          <cell r="B18">
            <v>331</v>
          </cell>
          <cell r="C18">
            <v>106445</v>
          </cell>
          <cell r="D18" t="str">
            <v>ANALISTA ESPECIALIZADO EM CIENCIAS SOCIAIS APLICADAS I - 30H36H, 40H OU 44H</v>
          </cell>
          <cell r="E18">
            <v>44</v>
          </cell>
          <cell r="F18" t="e">
            <v>#N/A</v>
          </cell>
          <cell r="G18" t="str">
            <v>ANALISTA ESPECIALIZADO EM CIÊNCIAS SOCIAIS APLICADAS I - DIARISTA DIURNO - 44H</v>
          </cell>
        </row>
        <row r="19">
          <cell r="A19" t="str">
            <v>10638040</v>
          </cell>
          <cell r="B19">
            <v>334</v>
          </cell>
          <cell r="C19">
            <v>106380</v>
          </cell>
          <cell r="D19" t="str">
            <v>ANALISTA  ESPECIALIZADO  EM CIENCIAS SOCIAIS  APLICADAS II -30H, 36H, 40H OU 44H</v>
          </cell>
          <cell r="E19">
            <v>40</v>
          </cell>
          <cell r="F19" t="e">
            <v>#N/A</v>
          </cell>
          <cell r="G19" t="str">
            <v>ANALISTA ESPECIALIZADO EM CIÊNCIAS SOCIAIS APLICADAS II - DIARISTA DIURNO - 40H</v>
          </cell>
        </row>
        <row r="20">
          <cell r="A20" t="str">
            <v>10639940</v>
          </cell>
          <cell r="B20">
            <v>326</v>
          </cell>
          <cell r="C20">
            <v>106399</v>
          </cell>
          <cell r="D20" t="str">
            <v>ANALISTA  ESPECIALIZADO  EM INFRAESTRUTURA - 30H, 36H, 40H  OU 44H</v>
          </cell>
          <cell r="E20">
            <v>40</v>
          </cell>
          <cell r="F20" t="e">
            <v>#N/A</v>
          </cell>
          <cell r="G20" t="str">
            <v>ANALISTA ESPECIALIZADO EM INFRAESTRUTURA - DIARISTA DIURNO - 40H</v>
          </cell>
        </row>
        <row r="21">
          <cell r="A21" t="str">
            <v>10639944</v>
          </cell>
          <cell r="B21">
            <v>327</v>
          </cell>
          <cell r="C21">
            <v>106399</v>
          </cell>
          <cell r="D21" t="str">
            <v>ANALISTA  ESPECIALIZADO  EM INFRAESTRUTURA - 30H, 36H, 40H  OU 44H</v>
          </cell>
          <cell r="E21">
            <v>44</v>
          </cell>
          <cell r="F21" t="e">
            <v>#N/A</v>
          </cell>
          <cell r="G21" t="str">
            <v>ANALISTA ESPECIALIZADO EM INFRAESTRUTURA - DIARISTA DIURNO - 44H</v>
          </cell>
        </row>
        <row r="22">
          <cell r="A22" t="str">
            <v>10645340</v>
          </cell>
          <cell r="B22">
            <v>338</v>
          </cell>
          <cell r="C22">
            <v>106453</v>
          </cell>
          <cell r="D22" t="str">
            <v>ANALISTA ESPECIALIZADO EM SAUDE E MEIO AMBIENTE I - 20H,22H,30H, 36H, 40H OU 44H</v>
          </cell>
          <cell r="E22">
            <v>40</v>
          </cell>
          <cell r="F22" t="e">
            <v>#N/A</v>
          </cell>
          <cell r="G22" t="str">
            <v>ANALISTA ESPECIALIZADO EM SAÚDE E MEIO AMBIENTE I - DIARISTA DIURNO - 40H</v>
          </cell>
        </row>
        <row r="23">
          <cell r="A23" t="str">
            <v>10645344</v>
          </cell>
          <cell r="B23">
            <v>339</v>
          </cell>
          <cell r="C23">
            <v>106453</v>
          </cell>
          <cell r="D23" t="str">
            <v>ANALISTA ESPECIALIZADO EM SAUDE E MEIO AMBIENTE I - 20H,22H,30H, 36H, 40H OU 44H</v>
          </cell>
          <cell r="E23">
            <v>44</v>
          </cell>
          <cell r="F23" t="e">
            <v>#N/A</v>
          </cell>
          <cell r="G23" t="str">
            <v>ANALISTA ESPECIALIZADO EM SAÚDE E MEIO AMBIENTE I - DIARISTA DIURNO - 44H</v>
          </cell>
        </row>
        <row r="24">
          <cell r="A24" t="str">
            <v>10646140</v>
          </cell>
          <cell r="B24">
            <v>342</v>
          </cell>
          <cell r="C24">
            <v>106461</v>
          </cell>
          <cell r="D24" t="str">
            <v>ANALISTA ESPECIALIZADO EM SAUDE E MEIO AMBIENTE II- 20H, 22H, 30H, 36H, 40H OU 44H</v>
          </cell>
          <cell r="E24">
            <v>40</v>
          </cell>
          <cell r="F24" t="e">
            <v>#N/A</v>
          </cell>
          <cell r="G24" t="str">
            <v>ANALISTA ESPECIALIZADO EM SAÚDE E MEIO AMBIENTE II - DIARISTA DIURNO - 40H</v>
          </cell>
        </row>
        <row r="25">
          <cell r="A25" t="str">
            <v>14922540</v>
          </cell>
          <cell r="B25">
            <v>1895</v>
          </cell>
          <cell r="C25">
            <v>149225</v>
          </cell>
          <cell r="D25" t="str">
            <v>ANALISTA ESPECIALIZADO EM SAUDE E MEIO AMBIENTE III - 20H, 22H, 30H, 36H, 40H OU 44H</v>
          </cell>
          <cell r="E25">
            <v>40</v>
          </cell>
          <cell r="F25" t="e">
            <v>#N/A</v>
          </cell>
          <cell r="G25" t="str">
            <v>ANALISTA ESPECIALIZADO EM SAÚDE E MEIO AMBIENTE III - DIARISTA DIURNO - 40H</v>
          </cell>
        </row>
        <row r="26">
          <cell r="A26" t="str">
            <v>15683324</v>
          </cell>
          <cell r="B26">
            <v>2013</v>
          </cell>
          <cell r="C26">
            <v>156833</v>
          </cell>
          <cell r="D26" t="str">
            <v>ANALISTA ESPECIALIZADO EM SAUDE E MEIO AMBIENTE IV - 24H</v>
          </cell>
          <cell r="E26">
            <v>24</v>
          </cell>
          <cell r="F26" t="e">
            <v>#N/A</v>
          </cell>
          <cell r="G26" t="str">
            <v>ANALISTA ESPECIALIZADO EM SAÚDE E MEIO AMBIENTE IV - DIARISTA DIURNO - 24H</v>
          </cell>
        </row>
        <row r="27">
          <cell r="A27" t="str">
            <v>15684140</v>
          </cell>
          <cell r="B27">
            <v>2014</v>
          </cell>
          <cell r="C27">
            <v>156841</v>
          </cell>
          <cell r="D27" t="str">
            <v>ANALISTA ESPECIALIZADO EM SAUDE E MEIO AMBIENTE V - 20H, 22H, 24H, 30H, 36H, 40H OU 44H</v>
          </cell>
          <cell r="E27">
            <v>40</v>
          </cell>
          <cell r="F27" t="e">
            <v>#N/A</v>
          </cell>
          <cell r="G27" t="str">
            <v>ANALISTA ESPECIALIZADO EM SAÚDE E MEIO AMBIENTE V - DIARISTA DIURNO - 40H</v>
          </cell>
        </row>
        <row r="28">
          <cell r="A28" t="str">
            <v>6369044</v>
          </cell>
          <cell r="B28">
            <v>225</v>
          </cell>
          <cell r="C28">
            <v>63690</v>
          </cell>
          <cell r="D28" t="str">
            <v>APOIO A MANUTENCAO VEICULAR - 40H OU 44H</v>
          </cell>
          <cell r="E28">
            <v>44</v>
          </cell>
          <cell r="F28" t="e">
            <v>#N/A</v>
          </cell>
          <cell r="G28" t="str">
            <v>APOIO À MANUTENÇÃO VEICULAR - DIARISTA DIURNO - 44H</v>
          </cell>
        </row>
        <row r="29">
          <cell r="A29" t="str">
            <v>6371140</v>
          </cell>
          <cell r="B29">
            <v>270</v>
          </cell>
          <cell r="C29">
            <v>63711</v>
          </cell>
          <cell r="D29" t="str">
            <v>ARTESAO - 40H</v>
          </cell>
          <cell r="E29">
            <v>40</v>
          </cell>
          <cell r="F29" t="e">
            <v>#N/A</v>
          </cell>
          <cell r="G29" t="str">
            <v>ARTESÃO - DIARISTA DIURNO - 40H</v>
          </cell>
        </row>
        <row r="30">
          <cell r="A30" t="str">
            <v>6330430</v>
          </cell>
          <cell r="B30">
            <v>17</v>
          </cell>
          <cell r="C30">
            <v>63304</v>
          </cell>
          <cell r="D30" t="str">
            <v>ASCENSORISTA - 30H</v>
          </cell>
          <cell r="E30">
            <v>30</v>
          </cell>
          <cell r="F30" t="e">
            <v>#N/A</v>
          </cell>
          <cell r="G30" t="str">
            <v>ASCENSORISTA - DIARISTA DIURNO - 30H</v>
          </cell>
        </row>
        <row r="31">
          <cell r="A31" t="str">
            <v>6359236</v>
          </cell>
          <cell r="B31">
            <v>16</v>
          </cell>
          <cell r="C31">
            <v>63592</v>
          </cell>
          <cell r="D31" t="str">
            <v>ASCENSORISTA - 36H</v>
          </cell>
          <cell r="E31">
            <v>36</v>
          </cell>
          <cell r="F31" t="e">
            <v>#N/A</v>
          </cell>
          <cell r="G31" t="str">
            <v>ASCENSORISTA - ESCALA DIURNA - 36H</v>
          </cell>
        </row>
        <row r="32">
          <cell r="A32" t="str">
            <v>6376236</v>
          </cell>
          <cell r="B32">
            <v>22</v>
          </cell>
          <cell r="C32">
            <v>63762</v>
          </cell>
          <cell r="D32" t="str">
            <v>ASCENSORISTA - NOTURNO (0H AS 6H) - 36H</v>
          </cell>
          <cell r="E32">
            <v>36</v>
          </cell>
          <cell r="F32" t="e">
            <v>#N/A</v>
          </cell>
          <cell r="G32" t="str">
            <v>ASCENSORISTA (0H ÀS 6H) - ESCALA NOTURNA - 36H</v>
          </cell>
        </row>
        <row r="33">
          <cell r="A33" t="str">
            <v>6377036</v>
          </cell>
          <cell r="B33">
            <v>24</v>
          </cell>
          <cell r="C33">
            <v>63770</v>
          </cell>
          <cell r="D33" t="str">
            <v>ASCENSORISTA - NOTURNO (18H AS 0H) - 36H</v>
          </cell>
          <cell r="E33">
            <v>36</v>
          </cell>
          <cell r="F33" t="e">
            <v>#N/A</v>
          </cell>
          <cell r="G33" t="str">
            <v>ASCENSORISTA (18H ÀS 0H) - ESCALA NOTURNA - 36H</v>
          </cell>
        </row>
        <row r="34">
          <cell r="A34" t="str">
            <v>15848840</v>
          </cell>
          <cell r="B34" t="str">
            <v>A</v>
          </cell>
          <cell r="C34">
            <v>158488</v>
          </cell>
          <cell r="D34" t="str">
            <v>ASSESSOR ESPECIALIZADO - 30H, 36H, 40H OU 44H</v>
          </cell>
          <cell r="E34">
            <v>40</v>
          </cell>
          <cell r="F34" t="e">
            <v>#N/A</v>
          </cell>
          <cell r="G34" t="str">
            <v>ASSESSOR ESPECIALIZADO - DIARISTA DIURNO</v>
          </cell>
        </row>
        <row r="35">
          <cell r="A35" t="str">
            <v>10647040</v>
          </cell>
          <cell r="B35">
            <v>374</v>
          </cell>
          <cell r="C35">
            <v>106470</v>
          </cell>
          <cell r="D35" t="str">
            <v>ASSESSOR ESTRATEGICO - 30H, 36H, 40H OU 44H</v>
          </cell>
          <cell r="E35">
            <v>40</v>
          </cell>
          <cell r="F35" t="e">
            <v>#N/A</v>
          </cell>
          <cell r="G35" t="str">
            <v>ASSESSOR ESTRATÉGICO - DIARISTA DIURNO</v>
          </cell>
        </row>
        <row r="36">
          <cell r="A36" t="str">
            <v>10548140</v>
          </cell>
          <cell r="B36">
            <v>1157</v>
          </cell>
          <cell r="C36">
            <v>105481</v>
          </cell>
          <cell r="D36" t="str">
            <v>ASSESSOR ESTRATEGICO NIVEL II - 30H, 36H, 40H OU 44H</v>
          </cell>
          <cell r="E36">
            <v>40</v>
          </cell>
          <cell r="F36" t="e">
            <v>#N/A</v>
          </cell>
          <cell r="G36" t="str">
            <v>ASSESSOR ESTRATÉGICO II - DIARISTA DIURNO</v>
          </cell>
        </row>
        <row r="37">
          <cell r="A37" t="str">
            <v>10648840</v>
          </cell>
          <cell r="B37">
            <v>370</v>
          </cell>
          <cell r="C37">
            <v>106488</v>
          </cell>
          <cell r="D37" t="str">
            <v>ASSESSOR ORGANIZACIONAL - 30H, 36H, 40H OU 44H</v>
          </cell>
          <cell r="E37">
            <v>40</v>
          </cell>
          <cell r="F37" t="e">
            <v>#N/A</v>
          </cell>
          <cell r="G37" t="str">
            <v>ASSESSOR ORGANIZACIONAL - DIARISTA DIURNO</v>
          </cell>
        </row>
        <row r="38">
          <cell r="A38" t="str">
            <v>10549040</v>
          </cell>
          <cell r="B38">
            <v>1158</v>
          </cell>
          <cell r="C38">
            <v>105490</v>
          </cell>
          <cell r="D38" t="str">
            <v>ASSESSOR ORGANIZACIONAL NIVEL II - 30H, 36H, 40H OU 44H</v>
          </cell>
          <cell r="E38">
            <v>40</v>
          </cell>
          <cell r="F38" t="e">
            <v>#N/A</v>
          </cell>
          <cell r="G38" t="str">
            <v>ASSESSOR ORGANIZACIONAL II - DIARISTA DIURNO</v>
          </cell>
        </row>
        <row r="39">
          <cell r="A39" t="str">
            <v>10649640</v>
          </cell>
          <cell r="B39">
            <v>366</v>
          </cell>
          <cell r="C39">
            <v>106496</v>
          </cell>
          <cell r="D39" t="str">
            <v>ASSESSOR TECNICO - 30H, 36H, 40H OU 44H</v>
          </cell>
          <cell r="E39">
            <v>40</v>
          </cell>
          <cell r="F39" t="e">
            <v>#N/A</v>
          </cell>
          <cell r="G39" t="str">
            <v>ASSESSOR TÉCNICO - DIARISTA DIURNO</v>
          </cell>
        </row>
        <row r="40">
          <cell r="A40" t="str">
            <v>10558940</v>
          </cell>
          <cell r="B40">
            <v>1159</v>
          </cell>
          <cell r="C40">
            <v>105589</v>
          </cell>
          <cell r="D40" t="str">
            <v>ASSESSOR TECNICO NIVEL II - 30H, 36H, 40H OU  44H</v>
          </cell>
          <cell r="E40">
            <v>40</v>
          </cell>
          <cell r="F40" t="e">
            <v>#N/A</v>
          </cell>
          <cell r="G40" t="str">
            <v>ASSESSOR TÉCNICO II - DIARISTA DIURNO</v>
          </cell>
        </row>
        <row r="41">
          <cell r="A41" t="str">
            <v>10650040</v>
          </cell>
          <cell r="B41">
            <v>362</v>
          </cell>
          <cell r="C41">
            <v>106500</v>
          </cell>
          <cell r="D41" t="str">
            <v>ASSISTENTE ADMINISTRATIVO - 30H, 36H, 40H OU 44H</v>
          </cell>
          <cell r="E41">
            <v>40</v>
          </cell>
          <cell r="F41" t="e">
            <v>#N/A</v>
          </cell>
          <cell r="G41" t="str">
            <v>ASSISTENTE ADMINISTRATIVO - DIARISTA DIURNO</v>
          </cell>
        </row>
        <row r="42">
          <cell r="A42" t="str">
            <v>10559740</v>
          </cell>
          <cell r="B42">
            <v>1161</v>
          </cell>
          <cell r="C42">
            <v>105597</v>
          </cell>
          <cell r="D42" t="str">
            <v>ASSISTENTE ADMINISTRATIVO NIVEL II - 30H, 36H, 40H OU 44H</v>
          </cell>
          <cell r="E42">
            <v>40</v>
          </cell>
          <cell r="F42" t="e">
            <v>#N/A</v>
          </cell>
          <cell r="G42" t="str">
            <v>ASSISTENTE ADMINISTRATIVO II - DIARISTA DIURNO</v>
          </cell>
        </row>
        <row r="43">
          <cell r="A43" t="str">
            <v>7004140</v>
          </cell>
          <cell r="B43">
            <v>416</v>
          </cell>
          <cell r="C43">
            <v>70041</v>
          </cell>
          <cell r="D43" t="str">
            <v>ASSISTENTE DE LOGISTICA - (PERICULOSIDADE) - 40H            SERVICOS DE APOIO A OPERACAO DE CARGAS, DE SUPORTE LOGISTICO</v>
          </cell>
          <cell r="E43">
            <v>40</v>
          </cell>
          <cell r="F43" t="e">
            <v>#N/A</v>
          </cell>
          <cell r="G43" t="str">
            <v>ASSISTENTE DE LOGÍSTICA - (PERIC.) - DIARISTA DIURNO - 40H</v>
          </cell>
        </row>
        <row r="44">
          <cell r="A44" t="str">
            <v>6360644</v>
          </cell>
          <cell r="B44">
            <v>224</v>
          </cell>
          <cell r="C44">
            <v>63606</v>
          </cell>
          <cell r="D44" t="str">
            <v>ASSISTENTE DE LOGISTICA - 12X36 DIURNO - 44H</v>
          </cell>
          <cell r="E44">
            <v>44</v>
          </cell>
          <cell r="F44" t="e">
            <v>#N/A</v>
          </cell>
          <cell r="G44" t="str">
            <v>ASSISTENTE DE LOGÍSTICA - 12x36 DIURNO - 44H</v>
          </cell>
        </row>
        <row r="45">
          <cell r="A45" t="str">
            <v>6410640</v>
          </cell>
          <cell r="B45">
            <v>221</v>
          </cell>
          <cell r="C45">
            <v>64106</v>
          </cell>
          <cell r="D45" t="str">
            <v>ASSISTENTE DE LOGISTICA - 40H OU 44H</v>
          </cell>
          <cell r="E45">
            <v>40</v>
          </cell>
          <cell r="F45" t="e">
            <v>#N/A</v>
          </cell>
          <cell r="G45" t="str">
            <v>ASSISTENTE DE LOGÍSTICA - DIARISTA DIURNO - 40H</v>
          </cell>
        </row>
        <row r="46">
          <cell r="A46" t="str">
            <v>6410644</v>
          </cell>
          <cell r="B46">
            <v>220</v>
          </cell>
          <cell r="C46">
            <v>64106</v>
          </cell>
          <cell r="D46" t="str">
            <v>ASSISTENTE DE LOGISTICA - 40H OU 44H</v>
          </cell>
          <cell r="E46">
            <v>44</v>
          </cell>
          <cell r="F46" t="e">
            <v>#N/A</v>
          </cell>
          <cell r="G46" t="str">
            <v>ASSISTENTE DE LOGÍSTICA - DIARISTA DIURNO - 44H</v>
          </cell>
        </row>
        <row r="47">
          <cell r="A47" t="str">
            <v>10651840</v>
          </cell>
          <cell r="B47">
            <v>358</v>
          </cell>
          <cell r="C47">
            <v>106518</v>
          </cell>
          <cell r="D47" t="str">
            <v>ASSISTENTE OPERACIONAL - 30H, 36H, 40H OU 44H</v>
          </cell>
          <cell r="E47">
            <v>40</v>
          </cell>
          <cell r="F47" t="e">
            <v>#N/A</v>
          </cell>
          <cell r="G47" t="str">
            <v>ASSISTENTE OPERACIONAL - DIARISTA DIURNO</v>
          </cell>
        </row>
        <row r="48">
          <cell r="A48" t="str">
            <v>10560040</v>
          </cell>
          <cell r="B48">
            <v>1163</v>
          </cell>
          <cell r="C48">
            <v>105600</v>
          </cell>
          <cell r="D48" t="str">
            <v>ASSISTENTE OPERACIONAL NIVEL II - 30H, 36H 40H OU 44H</v>
          </cell>
          <cell r="E48">
            <v>40</v>
          </cell>
          <cell r="F48" t="e">
            <v>#N/A</v>
          </cell>
          <cell r="G48" t="str">
            <v>ASSISTENTE OPERACIONAL II - DIARISTA DIURNO</v>
          </cell>
        </row>
        <row r="49">
          <cell r="A49" t="str">
            <v>15849640</v>
          </cell>
          <cell r="B49" t="str">
            <v>B</v>
          </cell>
          <cell r="C49">
            <v>158496</v>
          </cell>
          <cell r="D49" t="str">
            <v>AUXILIAR DE APOIO AO EDUCANDO - 30H, 36H, 40H OU 44H</v>
          </cell>
          <cell r="E49">
            <v>40</v>
          </cell>
          <cell r="F49" t="e">
            <v>#N/A</v>
          </cell>
          <cell r="G49" t="str">
            <v>AUXILIAR DE APOIO AO EDUCANDO - DIARISTA DIURNO - 40H</v>
          </cell>
        </row>
        <row r="50">
          <cell r="A50" t="str">
            <v>10041240</v>
          </cell>
          <cell r="B50">
            <v>1165</v>
          </cell>
          <cell r="C50">
            <v>100412</v>
          </cell>
          <cell r="D50" t="str">
            <v>AUXILIAR DE LIMPEZA - (PERICULOSIDADE) - 40H</v>
          </cell>
          <cell r="E50">
            <v>40</v>
          </cell>
          <cell r="F50" t="e">
            <v>#N/A</v>
          </cell>
          <cell r="G50" t="str">
            <v>AUXILIAR DE LIMPEZA - (PERIC.) - DIARISTA DIURNO - 40H</v>
          </cell>
        </row>
        <row r="51">
          <cell r="A51" t="str">
            <v>10605444</v>
          </cell>
          <cell r="B51">
            <v>408</v>
          </cell>
          <cell r="C51">
            <v>106054</v>
          </cell>
          <cell r="D51" t="str">
            <v>AUXILIAR DE LIMPEZA -  (PERICULOSIDADE) - 44H</v>
          </cell>
          <cell r="E51">
            <v>44</v>
          </cell>
          <cell r="F51" t="e">
            <v>#N/A</v>
          </cell>
          <cell r="G51" t="str">
            <v>AUXILIAR DE LIMPEZA - (PERIC.) - DIARISTA DIURNO - 44H</v>
          </cell>
        </row>
        <row r="52">
          <cell r="A52" t="str">
            <v>10606244</v>
          </cell>
          <cell r="B52">
            <v>279</v>
          </cell>
          <cell r="C52">
            <v>106062</v>
          </cell>
          <cell r="D52" t="str">
            <v>AUXILIAR DE LIMPEZA - 12X36 DIURNO - 44H</v>
          </cell>
          <cell r="E52">
            <v>44</v>
          </cell>
          <cell r="F52" t="e">
            <v>#N/A</v>
          </cell>
          <cell r="G52" t="str">
            <v>AUXILIAR DE LIMPEZA - 12x36 DIURNO - 44H</v>
          </cell>
        </row>
        <row r="53">
          <cell r="A53" t="str">
            <v>10607044</v>
          </cell>
          <cell r="B53">
            <v>280</v>
          </cell>
          <cell r="C53">
            <v>106070</v>
          </cell>
          <cell r="D53" t="str">
            <v>AUXILIAR DE LIMPEZA - 12X36 NOTURNO - 44H</v>
          </cell>
          <cell r="E53">
            <v>44</v>
          </cell>
          <cell r="F53" t="e">
            <v>#N/A</v>
          </cell>
          <cell r="G53" t="str">
            <v>AUXILIAR DE LIMPEZA - 12x36 NOTURNO - 44H</v>
          </cell>
        </row>
        <row r="54">
          <cell r="A54" t="str">
            <v>10608922</v>
          </cell>
          <cell r="B54">
            <v>275</v>
          </cell>
          <cell r="C54">
            <v>106089</v>
          </cell>
          <cell r="D54" t="str">
            <v>AUXILIAR DE LIMPEZA - 22H, 30H, 36H, 40H OU 44H</v>
          </cell>
          <cell r="E54">
            <v>22</v>
          </cell>
          <cell r="F54" t="e">
            <v>#N/A</v>
          </cell>
          <cell r="G54" t="str">
            <v>AUXILIAR DE LIMPEZA - DIARISTA DIURNO - 22H</v>
          </cell>
        </row>
        <row r="55">
          <cell r="A55" t="str">
            <v>10608930</v>
          </cell>
          <cell r="B55">
            <v>274</v>
          </cell>
          <cell r="C55">
            <v>106089</v>
          </cell>
          <cell r="D55" t="str">
            <v>AUXILIAR DE LIMPEZA - 22H, 30H, 36H, 40H OU 44H</v>
          </cell>
          <cell r="E55">
            <v>30</v>
          </cell>
          <cell r="F55" t="e">
            <v>#N/A</v>
          </cell>
          <cell r="G55" t="str">
            <v>AUXILIAR DE LIMPEZA - DIARISTA DIURNO - 30H</v>
          </cell>
        </row>
        <row r="56">
          <cell r="A56" t="str">
            <v>10608940</v>
          </cell>
          <cell r="B56">
            <v>272</v>
          </cell>
          <cell r="C56">
            <v>106089</v>
          </cell>
          <cell r="D56" t="str">
            <v>AUXILIAR DE LIMPEZA - 22H, 30H, 36H, 40H OU 44H</v>
          </cell>
          <cell r="E56">
            <v>40</v>
          </cell>
          <cell r="F56" t="e">
            <v>#N/A</v>
          </cell>
          <cell r="G56" t="str">
            <v>AUXILIAR DE LIMPEZA - DIARISTA DIURNO - 40H</v>
          </cell>
        </row>
        <row r="57">
          <cell r="A57" t="str">
            <v>10608944</v>
          </cell>
          <cell r="B57">
            <v>271</v>
          </cell>
          <cell r="C57">
            <v>106089</v>
          </cell>
          <cell r="D57" t="str">
            <v>AUXILIAR DE LIMPEZA - 22H, 30H, 36H, 40H OU 44H</v>
          </cell>
          <cell r="E57">
            <v>44</v>
          </cell>
          <cell r="F57" t="e">
            <v>#N/A</v>
          </cell>
          <cell r="G57" t="str">
            <v>AUXILIAR DE LIMPEZA - DIARISTA DIURNO - 44H</v>
          </cell>
        </row>
        <row r="58">
          <cell r="A58" t="str">
            <v>10608936</v>
          </cell>
          <cell r="B58">
            <v>1896</v>
          </cell>
          <cell r="C58">
            <v>106089</v>
          </cell>
          <cell r="D58" t="str">
            <v>AUXILIAR DE LIMPEZA - 22H, 30H, 36H, 40H OU 44H</v>
          </cell>
          <cell r="E58">
            <v>36</v>
          </cell>
          <cell r="F58" t="e">
            <v>#N/A</v>
          </cell>
          <cell r="G58" t="str">
            <v>AUXILIAR DE LIMPEZA - DIARISTA DIURNO - 36H</v>
          </cell>
        </row>
        <row r="59">
          <cell r="A59" t="str">
            <v>10564344</v>
          </cell>
          <cell r="B59">
            <v>1166</v>
          </cell>
          <cell r="C59">
            <v>105643</v>
          </cell>
          <cell r="D59" t="str">
            <v>AUXILIAR DE SERVICOS - (PERICULOSIDADE) - 12X36 DIURNO - 44 H</v>
          </cell>
          <cell r="E59">
            <v>44</v>
          </cell>
          <cell r="F59" t="e">
            <v>#N/A</v>
          </cell>
          <cell r="G59" t="str">
            <v>AUXILIAR DE SERVIÇOS - (PERIC.) - 12x36 DIURNO - 44H</v>
          </cell>
        </row>
        <row r="60">
          <cell r="A60" t="str">
            <v>6438644</v>
          </cell>
          <cell r="B60">
            <v>239</v>
          </cell>
          <cell r="C60">
            <v>64386</v>
          </cell>
          <cell r="D60" t="str">
            <v>AUXILIAR DE SERVICOS - 12X36 DIURNO - 44H</v>
          </cell>
          <cell r="E60">
            <v>44</v>
          </cell>
          <cell r="F60" t="e">
            <v>#N/A</v>
          </cell>
          <cell r="G60" t="str">
            <v>AUXILIAR DE SERVIÇOS - 12x36 DIURNO - 44H</v>
          </cell>
        </row>
        <row r="61">
          <cell r="A61" t="str">
            <v>6407644</v>
          </cell>
          <cell r="B61">
            <v>240</v>
          </cell>
          <cell r="C61">
            <v>64076</v>
          </cell>
          <cell r="D61" t="str">
            <v>AUXILIAR DE SERVICOS - 12X36 NOTURNO - 44H</v>
          </cell>
          <cell r="E61">
            <v>44</v>
          </cell>
          <cell r="F61" t="e">
            <v>#N/A</v>
          </cell>
          <cell r="G61" t="str">
            <v>AUXILIAR DE SERVIÇOS - 12x36 NOTURNO - 44H</v>
          </cell>
        </row>
        <row r="62">
          <cell r="A62" t="str">
            <v>6365740</v>
          </cell>
          <cell r="B62">
            <v>238</v>
          </cell>
          <cell r="C62">
            <v>63657</v>
          </cell>
          <cell r="D62" t="str">
            <v>AUXILIAR DE SERVICOS - 40H OU 44H</v>
          </cell>
          <cell r="E62">
            <v>40</v>
          </cell>
          <cell r="F62" t="e">
            <v>#N/A</v>
          </cell>
          <cell r="G62" t="str">
            <v>AUXILIAR DE SERVIÇOS - DIARISTA DIURNO - 40H</v>
          </cell>
        </row>
        <row r="63">
          <cell r="A63" t="str">
            <v>6365744</v>
          </cell>
          <cell r="B63">
            <v>237</v>
          </cell>
          <cell r="C63">
            <v>63657</v>
          </cell>
          <cell r="D63" t="str">
            <v>AUXILIAR DE SERVICOS - 40H OU 44H</v>
          </cell>
          <cell r="E63">
            <v>44</v>
          </cell>
          <cell r="F63" t="e">
            <v>#N/A</v>
          </cell>
          <cell r="G63" t="str">
            <v>AUXILIAR DE SERVIÇOS - DIARISTA DIURNO - 44H</v>
          </cell>
        </row>
        <row r="64">
          <cell r="A64" t="str">
            <v>6439444</v>
          </cell>
          <cell r="B64">
            <v>241</v>
          </cell>
          <cell r="C64">
            <v>64394</v>
          </cell>
          <cell r="D64" t="str">
            <v>AUXILIAR DE SERVICOS (PERICULOSIDADE) - 40H OU 44H</v>
          </cell>
          <cell r="E64">
            <v>44</v>
          </cell>
          <cell r="F64" t="e">
            <v>#N/A</v>
          </cell>
          <cell r="G64" t="str">
            <v>AUXILIAR DE SERVIÇOS - (PERIC.) - DIARISTA DIURNO - 44H</v>
          </cell>
        </row>
        <row r="65">
          <cell r="A65" t="str">
            <v>10609744</v>
          </cell>
          <cell r="B65">
            <v>134</v>
          </cell>
          <cell r="C65">
            <v>106097</v>
          </cell>
          <cell r="D65" t="str">
            <v>BOMBEIRO HIDRAULICO - 12X36 DIURNO - 44H</v>
          </cell>
          <cell r="E65">
            <v>44</v>
          </cell>
          <cell r="F65" t="e">
            <v>#N/A</v>
          </cell>
          <cell r="G65" t="str">
            <v>BOMBEIRO HIDRÁULICO - 12x36 DIURNO - 44H</v>
          </cell>
        </row>
        <row r="66">
          <cell r="A66" t="str">
            <v>10610044</v>
          </cell>
          <cell r="B66">
            <v>136</v>
          </cell>
          <cell r="C66">
            <v>106100</v>
          </cell>
          <cell r="D66" t="str">
            <v>BOMBEIRO HIDRAULICO - 12X36 DIURNO (PERICULOSIDADE) - 44H</v>
          </cell>
          <cell r="E66">
            <v>44</v>
          </cell>
          <cell r="F66" t="e">
            <v>#N/A</v>
          </cell>
          <cell r="G66" t="str">
            <v>BOMBEIRO HIDRÁULICO - (PERIC.) - 12x36 DIURNO - 44H</v>
          </cell>
        </row>
        <row r="67">
          <cell r="A67" t="str">
            <v>10611940</v>
          </cell>
          <cell r="B67">
            <v>133</v>
          </cell>
          <cell r="C67">
            <v>106119</v>
          </cell>
          <cell r="D67" t="str">
            <v>BOMBEIRO HIDRAULICO - 40H OU 44H</v>
          </cell>
          <cell r="E67">
            <v>40</v>
          </cell>
          <cell r="F67" t="e">
            <v>#N/A</v>
          </cell>
          <cell r="G67" t="str">
            <v>BOMBEIRO HIDRÁULICO - DIARISTA DIURNO - 40H</v>
          </cell>
        </row>
        <row r="68">
          <cell r="A68" t="str">
            <v>10611944</v>
          </cell>
          <cell r="B68">
            <v>132</v>
          </cell>
          <cell r="C68">
            <v>106119</v>
          </cell>
          <cell r="D68" t="str">
            <v>BOMBEIRO HIDRAULICO - 40H OU 44H</v>
          </cell>
          <cell r="E68">
            <v>44</v>
          </cell>
          <cell r="F68" t="e">
            <v>#N/A</v>
          </cell>
          <cell r="G68" t="str">
            <v>BOMBEIRO HIDRÁULICO - DIARISTA DIURNO - 44H</v>
          </cell>
        </row>
        <row r="69">
          <cell r="A69" t="str">
            <v>10612740</v>
          </cell>
          <cell r="B69">
            <v>138</v>
          </cell>
          <cell r="C69">
            <v>106127</v>
          </cell>
          <cell r="D69" t="str">
            <v>BOMBEIRO HIDRAULICO (PERICULOSIDADE) - 40H OU 44H</v>
          </cell>
          <cell r="E69">
            <v>40</v>
          </cell>
          <cell r="F69" t="e">
            <v>#N/A</v>
          </cell>
          <cell r="G69" t="str">
            <v>BOMBEIRO HIDRÁULICO - (PERIC.) - DIARISTA DIURNO - 40H</v>
          </cell>
        </row>
        <row r="70">
          <cell r="A70" t="str">
            <v>10612744</v>
          </cell>
          <cell r="B70">
            <v>137</v>
          </cell>
          <cell r="C70">
            <v>106127</v>
          </cell>
          <cell r="D70" t="str">
            <v>BOMBEIRO HIDRAULICO (PERICULOSIDADE) - 40H OU 44H</v>
          </cell>
          <cell r="E70">
            <v>44</v>
          </cell>
          <cell r="F70" t="e">
            <v>#N/A</v>
          </cell>
          <cell r="G70" t="str">
            <v>BOMBEIRO HIDRÁULICO - (PERIC.) - DIARISTA DIURNO - 44H</v>
          </cell>
        </row>
        <row r="71">
          <cell r="A71" t="str">
            <v>10613544</v>
          </cell>
          <cell r="B71">
            <v>413</v>
          </cell>
          <cell r="C71">
            <v>106135</v>
          </cell>
          <cell r="D71" t="str">
            <v>CAMAREIRA DE HOSPITAIS 12 X 36  DIURNO - 44H</v>
          </cell>
          <cell r="E71">
            <v>44</v>
          </cell>
          <cell r="F71" t="e">
            <v>#N/A</v>
          </cell>
          <cell r="G71" t="str">
            <v>CAMAREIRA DE HOSPITAIS - 12x36 DIURNO - 44H</v>
          </cell>
        </row>
        <row r="72">
          <cell r="A72" t="str">
            <v>10614344</v>
          </cell>
          <cell r="B72">
            <v>414</v>
          </cell>
          <cell r="C72">
            <v>106143</v>
          </cell>
          <cell r="D72" t="str">
            <v>CAMAREIRA DE HOSPITAIS 12X36 NOTURNO - 44H</v>
          </cell>
          <cell r="E72">
            <v>44</v>
          </cell>
          <cell r="F72" t="e">
            <v>#N/A</v>
          </cell>
          <cell r="G72" t="str">
            <v>CAMAREIRA DE HOSPITAIS - 12x36 NOTURNO - 44H</v>
          </cell>
        </row>
        <row r="73">
          <cell r="A73" t="str">
            <v>10617844</v>
          </cell>
          <cell r="B73">
            <v>192</v>
          </cell>
          <cell r="C73">
            <v>106178</v>
          </cell>
          <cell r="D73" t="str">
            <v>COPEIRO - 12X36 DIURNO - 44H</v>
          </cell>
          <cell r="E73">
            <v>44</v>
          </cell>
          <cell r="F73" t="e">
            <v>#N/A</v>
          </cell>
          <cell r="G73" t="str">
            <v>COPEIRO - 12x36 DIURNO - 44H</v>
          </cell>
        </row>
        <row r="74">
          <cell r="A74" t="str">
            <v>10618644</v>
          </cell>
          <cell r="B74">
            <v>193</v>
          </cell>
          <cell r="C74">
            <v>106186</v>
          </cell>
          <cell r="D74" t="str">
            <v>COPEIRO - 12X36 NOTURNO - 44H</v>
          </cell>
          <cell r="E74">
            <v>44</v>
          </cell>
          <cell r="F74" t="e">
            <v>#N/A</v>
          </cell>
          <cell r="G74" t="str">
            <v>COPEIRO - 12x36 NOTURNO - 44H</v>
          </cell>
        </row>
        <row r="75">
          <cell r="A75" t="str">
            <v>10619430</v>
          </cell>
          <cell r="B75">
            <v>191</v>
          </cell>
          <cell r="C75">
            <v>106194</v>
          </cell>
          <cell r="D75" t="str">
            <v>COPEIRO - 30H, 40H OU 44H</v>
          </cell>
          <cell r="E75">
            <v>30</v>
          </cell>
          <cell r="F75" t="e">
            <v>#N/A</v>
          </cell>
          <cell r="G75" t="str">
            <v>COPEIRO - DIARISTA DIURNO - 30H</v>
          </cell>
        </row>
        <row r="76">
          <cell r="A76" t="str">
            <v>10619436</v>
          </cell>
          <cell r="B76">
            <v>1167</v>
          </cell>
          <cell r="C76">
            <v>106194</v>
          </cell>
          <cell r="D76" t="str">
            <v>COPEIRO - 30H, 40H OU 44H</v>
          </cell>
          <cell r="E76">
            <v>36</v>
          </cell>
          <cell r="F76" t="e">
            <v>#N/A</v>
          </cell>
          <cell r="G76" t="str">
            <v>COPEIRO - DIARISTA DIURNO - 36H</v>
          </cell>
        </row>
        <row r="77">
          <cell r="A77" t="str">
            <v>10619440</v>
          </cell>
          <cell r="B77">
            <v>189</v>
          </cell>
          <cell r="C77">
            <v>106194</v>
          </cell>
          <cell r="D77" t="str">
            <v>COPEIRO - 30H, 40H OU 44H</v>
          </cell>
          <cell r="E77">
            <v>40</v>
          </cell>
          <cell r="F77" t="e">
            <v>#N/A</v>
          </cell>
          <cell r="G77" t="str">
            <v>COPEIRO - DIARISTA DIURNO - 40H</v>
          </cell>
        </row>
        <row r="78">
          <cell r="A78" t="str">
            <v>10619444</v>
          </cell>
          <cell r="B78">
            <v>188</v>
          </cell>
          <cell r="C78">
            <v>106194</v>
          </cell>
          <cell r="D78" t="str">
            <v>COPEIRO - 30H, 40H OU 44H</v>
          </cell>
          <cell r="E78">
            <v>44</v>
          </cell>
          <cell r="F78" t="e">
            <v>#N/A</v>
          </cell>
          <cell r="G78" t="str">
            <v>COPEIRO - DIARISTA DIURNO - 44H</v>
          </cell>
        </row>
        <row r="79">
          <cell r="A79" t="str">
            <v>6630344</v>
          </cell>
          <cell r="B79">
            <v>376</v>
          </cell>
          <cell r="C79">
            <v>66303</v>
          </cell>
          <cell r="D79" t="str">
            <v>COVEIRO - 44H</v>
          </cell>
          <cell r="E79">
            <v>44</v>
          </cell>
          <cell r="F79" t="e">
            <v>#N/A</v>
          </cell>
          <cell r="G79" t="str">
            <v>COVEIRO - DIARISTA DIURNO - 44H</v>
          </cell>
        </row>
        <row r="80">
          <cell r="A80" t="str">
            <v>10571644</v>
          </cell>
          <cell r="B80">
            <v>1168</v>
          </cell>
          <cell r="C80">
            <v>105716</v>
          </cell>
          <cell r="D80" t="str">
            <v>COVEIRO 12x36 - DIURNO - 44 HORAS</v>
          </cell>
          <cell r="E80">
            <v>44</v>
          </cell>
          <cell r="F80" t="e">
            <v>#N/A</v>
          </cell>
          <cell r="G80" t="str">
            <v>COVEIRO - 12x36 DIURNO - 44H</v>
          </cell>
        </row>
        <row r="81">
          <cell r="A81" t="str">
            <v>6402544</v>
          </cell>
          <cell r="B81">
            <v>202</v>
          </cell>
          <cell r="C81">
            <v>64025</v>
          </cell>
          <cell r="D81" t="str">
            <v>COZINHEIRO - 12X36 DIURNO - 44H</v>
          </cell>
          <cell r="E81">
            <v>44</v>
          </cell>
          <cell r="F81" t="e">
            <v>#N/A</v>
          </cell>
          <cell r="G81" t="str">
            <v>COZINHEIRO - 12x36 DIURNO - 44H</v>
          </cell>
        </row>
        <row r="82">
          <cell r="A82" t="str">
            <v>6403344</v>
          </cell>
          <cell r="B82">
            <v>203</v>
          </cell>
          <cell r="C82">
            <v>64033</v>
          </cell>
          <cell r="D82" t="str">
            <v>COZINHEIRO - 12X36 NOTURNO - 44H</v>
          </cell>
          <cell r="E82">
            <v>44</v>
          </cell>
          <cell r="F82" t="e">
            <v>#N/A</v>
          </cell>
          <cell r="G82" t="str">
            <v>COZINHEIRO - 12x36 NOTURNO - 44H</v>
          </cell>
        </row>
        <row r="83">
          <cell r="A83" t="str">
            <v>6357644</v>
          </cell>
          <cell r="B83">
            <v>201</v>
          </cell>
          <cell r="C83">
            <v>63576</v>
          </cell>
          <cell r="D83" t="str">
            <v>COZINHEIRO - 40H OU 44H</v>
          </cell>
          <cell r="E83">
            <v>44</v>
          </cell>
          <cell r="F83" t="e">
            <v>#N/A</v>
          </cell>
          <cell r="G83" t="str">
            <v>COZINHEIRO - DIARISTA DIURNO - 44H</v>
          </cell>
        </row>
        <row r="84">
          <cell r="A84" t="str">
            <v>6357640</v>
          </cell>
          <cell r="B84">
            <v>1897</v>
          </cell>
          <cell r="C84">
            <v>63576</v>
          </cell>
          <cell r="D84" t="str">
            <v>COZINHEIRO - 40H OU 44H</v>
          </cell>
          <cell r="E84">
            <v>40</v>
          </cell>
          <cell r="F84" t="e">
            <v>#N/A</v>
          </cell>
          <cell r="G84" t="str">
            <v>COZINHEIRO - DIARISTA DIURNO - 40H</v>
          </cell>
        </row>
        <row r="85">
          <cell r="A85" t="str">
            <v>6334730</v>
          </cell>
          <cell r="B85">
            <v>82</v>
          </cell>
          <cell r="C85">
            <v>63347</v>
          </cell>
          <cell r="D85" t="str">
            <v>DIGITADOR - 30H OU 36H</v>
          </cell>
          <cell r="E85">
            <v>30</v>
          </cell>
          <cell r="F85" t="e">
            <v>#N/A</v>
          </cell>
          <cell r="G85" t="str">
            <v>DIGITADOR - DIARISTA DIURNO - 30H</v>
          </cell>
        </row>
        <row r="86">
          <cell r="A86" t="str">
            <v>6334736</v>
          </cell>
          <cell r="B86">
            <v>81</v>
          </cell>
          <cell r="C86">
            <v>63347</v>
          </cell>
          <cell r="D86" t="str">
            <v>DIGITADOR - 30H OU 36H</v>
          </cell>
          <cell r="E86">
            <v>36</v>
          </cell>
          <cell r="F86" t="e">
            <v>#N/A</v>
          </cell>
          <cell r="G86" t="str">
            <v>DIGITADOR - DIARISTA DIURNO - 36H</v>
          </cell>
        </row>
        <row r="87">
          <cell r="A87" t="str">
            <v>6384336</v>
          </cell>
          <cell r="B87">
            <v>83</v>
          </cell>
          <cell r="C87">
            <v>63843</v>
          </cell>
          <cell r="D87" t="str">
            <v>DIGITADOR - NOTURNO (0H AS 6H) - 36H</v>
          </cell>
          <cell r="E87">
            <v>36</v>
          </cell>
          <cell r="F87" t="e">
            <v>#N/A</v>
          </cell>
          <cell r="G87" t="str">
            <v>DIGITADOR (0H ÀS 6H) - ESCALA NOTURNA - 36H</v>
          </cell>
        </row>
        <row r="88">
          <cell r="A88" t="str">
            <v>6385136</v>
          </cell>
          <cell r="B88">
            <v>85</v>
          </cell>
          <cell r="C88">
            <v>63851</v>
          </cell>
          <cell r="D88" t="str">
            <v>DIGITADOR - NOTURNO (18H AS 0H) - 36H</v>
          </cell>
          <cell r="E88">
            <v>36</v>
          </cell>
          <cell r="F88" t="e">
            <v>#N/A</v>
          </cell>
          <cell r="G88" t="str">
            <v>DIGITADOR (18H ÀS 0H) - ESCALA NOTURNA - 36H</v>
          </cell>
        </row>
        <row r="89">
          <cell r="A89" t="str">
            <v>6368144</v>
          </cell>
          <cell r="B89">
            <v>1214</v>
          </cell>
          <cell r="C89">
            <v>63681</v>
          </cell>
          <cell r="D89" t="str">
            <v>EDUCADOR INFANTIL - 44 H (EXCETO SEE)</v>
          </cell>
          <cell r="E89">
            <v>44</v>
          </cell>
          <cell r="F89" t="e">
            <v>#N/A</v>
          </cell>
          <cell r="G89" t="str">
            <v>EDUCADOR INFANTIL - DIARISTA DIURNO - 44H</v>
          </cell>
        </row>
        <row r="90">
          <cell r="A90" t="str">
            <v>6344444</v>
          </cell>
          <cell r="B90">
            <v>122</v>
          </cell>
          <cell r="C90">
            <v>63444</v>
          </cell>
          <cell r="D90" t="str">
            <v>ELETRICISTA - 12X36 DIURNO (PERICULOSIDADE) - 44H</v>
          </cell>
          <cell r="E90">
            <v>44</v>
          </cell>
          <cell r="F90" t="e">
            <v>#N/A</v>
          </cell>
          <cell r="G90" t="str">
            <v>ELETRICISTA - (PERIC.) - 12x36 DIURNO - 44H</v>
          </cell>
        </row>
        <row r="91">
          <cell r="A91" t="str">
            <v>6425444</v>
          </cell>
          <cell r="B91">
            <v>123</v>
          </cell>
          <cell r="C91">
            <v>64254</v>
          </cell>
          <cell r="D91" t="str">
            <v>ELETRICISTA - 12X36 NOTURNO (PERICULOSIDADE) - 44H</v>
          </cell>
          <cell r="E91">
            <v>44</v>
          </cell>
          <cell r="F91" t="e">
            <v>#N/A</v>
          </cell>
          <cell r="G91" t="str">
            <v>ELETRICISTA - (PERIC.) - 12x36 NOTURNO - 44H</v>
          </cell>
        </row>
        <row r="92">
          <cell r="A92" t="str">
            <v>6426240</v>
          </cell>
          <cell r="B92">
            <v>120</v>
          </cell>
          <cell r="C92">
            <v>64262</v>
          </cell>
          <cell r="D92" t="str">
            <v>ELETRICISTA (PERICULOSIDADE) - 40H OU 44H</v>
          </cell>
          <cell r="E92">
            <v>40</v>
          </cell>
          <cell r="F92" t="e">
            <v>#N/A</v>
          </cell>
          <cell r="G92" t="str">
            <v>ELETRICISTA - (PERIC.) - DIARISTA DIURNO - 40H</v>
          </cell>
        </row>
        <row r="93">
          <cell r="A93" t="str">
            <v>6426244</v>
          </cell>
          <cell r="B93">
            <v>119</v>
          </cell>
          <cell r="C93">
            <v>64262</v>
          </cell>
          <cell r="D93" t="str">
            <v>ELETRICISTA (PERICULOSIDADE) - 40H OU 44H</v>
          </cell>
          <cell r="E93">
            <v>44</v>
          </cell>
          <cell r="F93" t="e">
            <v>#N/A</v>
          </cell>
          <cell r="G93" t="str">
            <v>ELETRICISTA - (PERIC.) - DIARISTA DIURNO - 44H</v>
          </cell>
        </row>
        <row r="94">
          <cell r="A94" t="str">
            <v>10633040</v>
          </cell>
          <cell r="B94">
            <v>1169</v>
          </cell>
          <cell r="C94">
            <v>106330</v>
          </cell>
          <cell r="D94" t="str">
            <v>ENCARREGADO  - (PERICULOSIDADE)  -  3OH, 36H, 40H OU 44 H</v>
          </cell>
          <cell r="E94">
            <v>40</v>
          </cell>
          <cell r="F94" t="e">
            <v>#N/A</v>
          </cell>
          <cell r="G94" t="str">
            <v>ENCARREGADO - (PERIC.) - DIARISTA DIURNO</v>
          </cell>
        </row>
        <row r="95">
          <cell r="A95" t="str">
            <v>10556244</v>
          </cell>
          <cell r="B95">
            <v>1170</v>
          </cell>
          <cell r="C95">
            <v>105562</v>
          </cell>
          <cell r="D95" t="str">
            <v>ENCARREGADO - 12x36 DIURNO - 44H</v>
          </cell>
          <cell r="E95">
            <v>44</v>
          </cell>
          <cell r="F95" t="e">
            <v>#N/A</v>
          </cell>
          <cell r="G95" t="str">
            <v>ENCARREGADO - 12x36 DIURNO</v>
          </cell>
        </row>
        <row r="96">
          <cell r="A96" t="str">
            <v>10557044</v>
          </cell>
          <cell r="B96">
            <v>1171</v>
          </cell>
          <cell r="C96">
            <v>105570</v>
          </cell>
          <cell r="D96" t="str">
            <v>ENCARREGADO - 12X36 NOTURNO - 44H</v>
          </cell>
          <cell r="E96">
            <v>44</v>
          </cell>
          <cell r="F96" t="e">
            <v>#N/A</v>
          </cell>
          <cell r="G96" t="str">
            <v>ENCARREGADO - 12x36 NOTURNO</v>
          </cell>
        </row>
        <row r="97">
          <cell r="A97" t="str">
            <v>10555440</v>
          </cell>
          <cell r="B97">
            <v>1172</v>
          </cell>
          <cell r="C97">
            <v>105554</v>
          </cell>
          <cell r="D97" t="str">
            <v>ENCARREGADO  - 30H, 36H, 40H OU 44H</v>
          </cell>
          <cell r="E97">
            <v>40</v>
          </cell>
          <cell r="F97" t="e">
            <v>#N/A</v>
          </cell>
          <cell r="G97" t="str">
            <v>ENCARREGADO - DIARISTA DIURNO</v>
          </cell>
        </row>
        <row r="98">
          <cell r="A98" t="str">
            <v>14627740</v>
          </cell>
          <cell r="B98">
            <v>1898</v>
          </cell>
          <cell r="C98">
            <v>146277</v>
          </cell>
          <cell r="D98" t="str">
            <v>ENCARREGADO DE CAMPO - 40H OU 44H</v>
          </cell>
          <cell r="E98">
            <v>40</v>
          </cell>
          <cell r="F98" t="e">
            <v>#N/A</v>
          </cell>
          <cell r="G98" t="str">
            <v>ENCARREGADO DE CAMPO - DIARISTA DIURNO</v>
          </cell>
        </row>
        <row r="99">
          <cell r="A99" t="str">
            <v>14626940</v>
          </cell>
          <cell r="B99">
            <v>1899</v>
          </cell>
          <cell r="C99">
            <v>146269</v>
          </cell>
          <cell r="D99" t="str">
            <v>ENCARREGADO GERAL - 40H OU 44H</v>
          </cell>
          <cell r="E99">
            <v>40</v>
          </cell>
          <cell r="F99" t="e">
            <v>#N/A</v>
          </cell>
          <cell r="G99" t="str">
            <v>ENCARREGADO GERAL - DIARISTA DIURNO</v>
          </cell>
        </row>
        <row r="100">
          <cell r="A100" t="str">
            <v>6354140</v>
          </cell>
          <cell r="B100">
            <v>185</v>
          </cell>
          <cell r="C100">
            <v>63541</v>
          </cell>
          <cell r="D100" t="str">
            <v>FRENTISTA (PERICULOSIDADE) - 40H</v>
          </cell>
          <cell r="E100">
            <v>40</v>
          </cell>
          <cell r="F100" t="e">
            <v>#N/A</v>
          </cell>
          <cell r="G100" t="str">
            <v>FRENTISTA - (PERIC.) - DIARISTA DIURNO - 40H</v>
          </cell>
        </row>
        <row r="101">
          <cell r="A101" t="str">
            <v>6356844</v>
          </cell>
          <cell r="B101">
            <v>199</v>
          </cell>
          <cell r="C101">
            <v>63568</v>
          </cell>
          <cell r="D101" t="str">
            <v>GARCOM - 12X36 DIURNO - 44H</v>
          </cell>
          <cell r="E101">
            <v>44</v>
          </cell>
          <cell r="F101" t="e">
            <v>#N/A</v>
          </cell>
          <cell r="G101" t="str">
            <v>GARÇOM - 12x36 DIURNO - 44H</v>
          </cell>
        </row>
        <row r="102">
          <cell r="A102" t="str">
            <v>6408440</v>
          </cell>
          <cell r="B102">
            <v>196</v>
          </cell>
          <cell r="C102">
            <v>64084</v>
          </cell>
          <cell r="D102" t="str">
            <v>GARCOM - 30H, 40H OU 44H</v>
          </cell>
          <cell r="E102">
            <v>40</v>
          </cell>
          <cell r="F102" t="e">
            <v>#N/A</v>
          </cell>
          <cell r="G102" t="str">
            <v>GARÇOM - DIARISTA DIURNO - 40H</v>
          </cell>
        </row>
        <row r="103">
          <cell r="A103" t="str">
            <v>6408444</v>
          </cell>
          <cell r="B103">
            <v>195</v>
          </cell>
          <cell r="C103">
            <v>64084</v>
          </cell>
          <cell r="D103" t="str">
            <v>GARCOM - 30H, 40H OU 44H</v>
          </cell>
          <cell r="E103">
            <v>44</v>
          </cell>
          <cell r="F103" t="e">
            <v>#N/A</v>
          </cell>
          <cell r="G103" t="str">
            <v>GARÇOM - DIARISTA DIURNO - 44H</v>
          </cell>
        </row>
        <row r="104">
          <cell r="A104" t="str">
            <v>15682540</v>
          </cell>
          <cell r="B104">
            <v>2010</v>
          </cell>
          <cell r="C104">
            <v>156825</v>
          </cell>
          <cell r="D104" t="str">
            <v>GESTOR OPERACIONAL - 40H OU 44H</v>
          </cell>
          <cell r="E104">
            <v>40</v>
          </cell>
          <cell r="F104" t="e">
            <v>#N/A</v>
          </cell>
          <cell r="G104" t="str">
            <v>GESTOR OPERACIONAL - DIARISTA DIURNO</v>
          </cell>
        </row>
        <row r="105">
          <cell r="A105" t="str">
            <v>14623440</v>
          </cell>
          <cell r="B105">
            <v>1900</v>
          </cell>
          <cell r="C105">
            <v>146234</v>
          </cell>
          <cell r="D105" t="str">
            <v>JARDINEIRO - (PERICULOSIDADE) - 40H OU 44H</v>
          </cell>
          <cell r="E105">
            <v>40</v>
          </cell>
          <cell r="F105" t="e">
            <v>#N/A</v>
          </cell>
          <cell r="G105" t="str">
            <v>JARDINEIRO - (PERIC.) - DIARISTA DIURNO - 40H</v>
          </cell>
        </row>
        <row r="106">
          <cell r="A106" t="str">
            <v>10620844</v>
          </cell>
          <cell r="B106">
            <v>406</v>
          </cell>
          <cell r="C106">
            <v>106208</v>
          </cell>
          <cell r="D106" t="str">
            <v>JARDINEIRO - 12X36 DIURNO - 44H</v>
          </cell>
          <cell r="E106">
            <v>44</v>
          </cell>
          <cell r="F106" t="e">
            <v>#N/A</v>
          </cell>
          <cell r="G106" t="str">
            <v>JARDINEIRO - 12x36 DIURNO - 44H</v>
          </cell>
        </row>
        <row r="107">
          <cell r="A107" t="str">
            <v>10621640</v>
          </cell>
          <cell r="B107">
            <v>234</v>
          </cell>
          <cell r="C107">
            <v>106216</v>
          </cell>
          <cell r="D107" t="str">
            <v>JARDINEIRO - 40H OU 44H</v>
          </cell>
          <cell r="E107">
            <v>40</v>
          </cell>
          <cell r="F107" t="e">
            <v>#N/A</v>
          </cell>
          <cell r="G107" t="str">
            <v>JARDINEIRO - DIARISTA DIURNO - 40H</v>
          </cell>
        </row>
        <row r="108">
          <cell r="A108" t="str">
            <v>10621644</v>
          </cell>
          <cell r="B108">
            <v>233</v>
          </cell>
          <cell r="C108">
            <v>106216</v>
          </cell>
          <cell r="D108" t="str">
            <v>JARDINEIRO - 40H OU 44H</v>
          </cell>
          <cell r="E108">
            <v>44</v>
          </cell>
          <cell r="F108" t="e">
            <v>#N/A</v>
          </cell>
          <cell r="G108" t="str">
            <v>JARDINEIRO - DIARISTA DIURNO - 44H</v>
          </cell>
        </row>
        <row r="109">
          <cell r="A109" t="str">
            <v>14652840</v>
          </cell>
          <cell r="B109">
            <v>1901</v>
          </cell>
          <cell r="C109">
            <v>146528</v>
          </cell>
          <cell r="D109" t="str">
            <v>LABORATORISTA - 40H ou 44H</v>
          </cell>
          <cell r="E109">
            <v>40</v>
          </cell>
          <cell r="F109" t="e">
            <v>#N/A</v>
          </cell>
          <cell r="G109" t="str">
            <v>LABORATORISTA - DIARISTA DIURNO - 40H</v>
          </cell>
        </row>
        <row r="110">
          <cell r="A110" t="str">
            <v>10623240</v>
          </cell>
          <cell r="B110">
            <v>232</v>
          </cell>
          <cell r="C110">
            <v>106232</v>
          </cell>
          <cell r="D110" t="str">
            <v>MANUTENCAO DE AREAS VERDES E VIVEIROS - 40H</v>
          </cell>
          <cell r="E110">
            <v>40</v>
          </cell>
          <cell r="F110" t="e">
            <v>#N/A</v>
          </cell>
          <cell r="G110" t="str">
            <v>MANUTENÇÃO DE ÁREAS VERDES E VIVEIROS - DIARISTA DIURNO - 40H</v>
          </cell>
        </row>
        <row r="111">
          <cell r="A111" t="str">
            <v>10042044</v>
          </cell>
          <cell r="B111">
            <v>1174</v>
          </cell>
          <cell r="C111">
            <v>100420</v>
          </cell>
          <cell r="D111" t="str">
            <v>MANUTENCAO DE AREAS VERDES E VIVEIROS - 44H</v>
          </cell>
          <cell r="E111">
            <v>44</v>
          </cell>
          <cell r="F111" t="e">
            <v>#N/A</v>
          </cell>
          <cell r="G111" t="str">
            <v>MANUTENÇÃO DE ÁREAS VERDES E VIVEIROS - DIARISTA DIURNO - 44H</v>
          </cell>
        </row>
        <row r="112">
          <cell r="A112" t="str">
            <v>12405240</v>
          </cell>
          <cell r="B112">
            <v>1394</v>
          </cell>
          <cell r="C112">
            <v>124052</v>
          </cell>
          <cell r="D112" t="str">
            <v>MANUTENCAO DE AREAS VERDES E VIVEIROS (PERICULOSIDADE) - 40H</v>
          </cell>
          <cell r="E112">
            <v>40</v>
          </cell>
          <cell r="F112" t="e">
            <v>#N/A</v>
          </cell>
          <cell r="G112" t="str">
            <v>MANUTENÇÃO DE ÁREAS VERDES E VIVEIROS - (PERIC.) - DIARISTA DIURNO - 40H</v>
          </cell>
        </row>
        <row r="113">
          <cell r="A113" t="str">
            <v>6393244</v>
          </cell>
          <cell r="B113">
            <v>1902</v>
          </cell>
          <cell r="C113">
            <v>63932</v>
          </cell>
          <cell r="D113" t="str">
            <v>MECANICO DE MAQUINAS E EQUIPAMENTOS - 12X36 DIURNO - 44H</v>
          </cell>
          <cell r="E113">
            <v>44</v>
          </cell>
          <cell r="F113" t="e">
            <v>#N/A</v>
          </cell>
          <cell r="G113" t="str">
            <v>MECÂNICO DE MÁQUINAS E EQUIPAMENTOS - 12x36 DIURNO - 44H</v>
          </cell>
        </row>
        <row r="114">
          <cell r="A114" t="str">
            <v>14621844</v>
          </cell>
          <cell r="B114">
            <v>1903</v>
          </cell>
          <cell r="C114">
            <v>146218</v>
          </cell>
          <cell r="D114" t="str">
            <v>MECANICO DE MAQUINAS E EQUIPAMENTOS - 12x36 NOTURNO - 44H</v>
          </cell>
          <cell r="E114">
            <v>44</v>
          </cell>
          <cell r="F114" t="e">
            <v>#N/A</v>
          </cell>
          <cell r="G114" t="str">
            <v>MECÂNICO DE MÁQUINAS E EQUIPAMENTOS - 12x36 NOTURNO - 44H</v>
          </cell>
        </row>
        <row r="115">
          <cell r="A115" t="str">
            <v>6350940</v>
          </cell>
          <cell r="B115">
            <v>150</v>
          </cell>
          <cell r="C115">
            <v>63509</v>
          </cell>
          <cell r="D115" t="str">
            <v>MECANICO DE MAQUINAS E EQUIPAMENTOS (PERICULOSIDADE) - 40H</v>
          </cell>
          <cell r="E115">
            <v>40</v>
          </cell>
          <cell r="F115" t="e">
            <v>#N/A</v>
          </cell>
          <cell r="G115" t="str">
            <v>MECÂNICO DE MÁQUINAS E EQUIPAMENTOS - (PERIC.) - DIARISTA DIURNO - 40H</v>
          </cell>
        </row>
        <row r="116">
          <cell r="A116" t="str">
            <v>6335544</v>
          </cell>
          <cell r="B116">
            <v>93</v>
          </cell>
          <cell r="C116">
            <v>63355</v>
          </cell>
          <cell r="D116" t="str">
            <v>MOTOCICLISTA (PERICULOSIDADE) - 44H</v>
          </cell>
          <cell r="E116">
            <v>44</v>
          </cell>
          <cell r="F116" t="e">
            <v>#N/A</v>
          </cell>
          <cell r="G116" t="str">
            <v>MOTOCICLISTA - (PERIC.) - DIARISTA DIURNO - 44H</v>
          </cell>
        </row>
        <row r="117">
          <cell r="A117" t="str">
            <v>6427044</v>
          </cell>
          <cell r="B117">
            <v>106</v>
          </cell>
          <cell r="C117">
            <v>64270</v>
          </cell>
          <cell r="D117" t="str">
            <v>MOTORISTA DE AMBULANCIA - 12X36 DIURNO - 44H</v>
          </cell>
          <cell r="E117">
            <v>44</v>
          </cell>
          <cell r="F117" t="e">
            <v>#N/A</v>
          </cell>
          <cell r="G117" t="str">
            <v>MOTORISTA DE AMBULÂNCIA - 12x36 DIURNO - 44H</v>
          </cell>
        </row>
        <row r="118">
          <cell r="A118" t="str">
            <v>6389444</v>
          </cell>
          <cell r="B118">
            <v>107</v>
          </cell>
          <cell r="C118">
            <v>63894</v>
          </cell>
          <cell r="D118" t="str">
            <v>MOTORISTA DE AMBULANCIA - 12X36 NOTURNO - 44H</v>
          </cell>
          <cell r="E118">
            <v>44</v>
          </cell>
          <cell r="F118" t="e">
            <v>#N/A</v>
          </cell>
          <cell r="G118" t="str">
            <v>MOTORISTA DE AMBULÂNCIA - 12x36 NOTURNO - 44H</v>
          </cell>
        </row>
        <row r="119">
          <cell r="A119" t="str">
            <v>10428030</v>
          </cell>
          <cell r="B119">
            <v>1175</v>
          </cell>
          <cell r="C119">
            <v>104280</v>
          </cell>
          <cell r="D119" t="str">
            <v>MOTORISTA DE AMBULANCIA - 30H</v>
          </cell>
          <cell r="E119">
            <v>30</v>
          </cell>
          <cell r="F119" t="e">
            <v>#N/A</v>
          </cell>
          <cell r="G119" t="str">
            <v>MOTORISTA DE AMBULÂNCIA - DIARISTA DIURNO - 30H</v>
          </cell>
        </row>
        <row r="120">
          <cell r="A120" t="str">
            <v>6340144</v>
          </cell>
          <cell r="B120">
            <v>105</v>
          </cell>
          <cell r="C120">
            <v>63401</v>
          </cell>
          <cell r="D120" t="str">
            <v>MOTORISTA DE AMBULANCIA - 44H</v>
          </cell>
          <cell r="E120">
            <v>44</v>
          </cell>
          <cell r="F120" t="e">
            <v>#N/A</v>
          </cell>
          <cell r="G120" t="str">
            <v>MOTORISTA DE AMBULÂNCIA - DIARISTA DIURNO - 44H</v>
          </cell>
        </row>
        <row r="121">
          <cell r="A121" t="str">
            <v>6337144</v>
          </cell>
          <cell r="B121">
            <v>100</v>
          </cell>
          <cell r="C121">
            <v>63371</v>
          </cell>
          <cell r="D121" t="str">
            <v>MOTORISTA DE CAMINHAO - 12X36 DIURNO - 44H</v>
          </cell>
          <cell r="E121">
            <v>44</v>
          </cell>
          <cell r="F121" t="e">
            <v>#N/A</v>
          </cell>
          <cell r="G121" t="str">
            <v>MOTORISTA DE CAMINHÃO - 12x36 DIURNO - 44H</v>
          </cell>
        </row>
        <row r="122">
          <cell r="A122" t="str">
            <v>6414944</v>
          </cell>
          <cell r="B122">
            <v>101</v>
          </cell>
          <cell r="C122">
            <v>64149</v>
          </cell>
          <cell r="D122" t="str">
            <v>MOTORISTA DE CAMINHAO - 12X36 NOTURNO - 44H</v>
          </cell>
          <cell r="E122">
            <v>44</v>
          </cell>
          <cell r="F122" t="e">
            <v>#N/A</v>
          </cell>
          <cell r="G122" t="str">
            <v>MOTORISTA DE CAMINHÃO - 12x36 NOTURNO - 44H</v>
          </cell>
        </row>
        <row r="123">
          <cell r="A123" t="str">
            <v>6388644</v>
          </cell>
          <cell r="B123">
            <v>98</v>
          </cell>
          <cell r="C123">
            <v>63886</v>
          </cell>
          <cell r="D123" t="str">
            <v>MOTORISTA DE CAMINHAO - 44H</v>
          </cell>
          <cell r="E123">
            <v>44</v>
          </cell>
          <cell r="F123" t="e">
            <v>#N/A</v>
          </cell>
          <cell r="G123" t="str">
            <v>MOTORISTA DE CAMINHÃO - DIARISTA DIURNO - 44H</v>
          </cell>
        </row>
        <row r="124">
          <cell r="A124" t="str">
            <v>6339844</v>
          </cell>
          <cell r="B124">
            <v>104</v>
          </cell>
          <cell r="C124">
            <v>63398</v>
          </cell>
          <cell r="D124" t="str">
            <v>MOTORISTA DE CAMINHAO (CARGAS PESADAS) - 44H</v>
          </cell>
          <cell r="E124">
            <v>44</v>
          </cell>
          <cell r="F124" t="e">
            <v>#N/A</v>
          </cell>
          <cell r="G124" t="str">
            <v>MOTORISTA DE CAMINHÃO (CARGAS PESADAS) - DIARISTA DIURNO - 44H</v>
          </cell>
        </row>
        <row r="125">
          <cell r="A125" t="str">
            <v>6341044</v>
          </cell>
          <cell r="B125">
            <v>108</v>
          </cell>
          <cell r="C125">
            <v>63410</v>
          </cell>
          <cell r="D125" t="str">
            <v>MOTORISTA DE ONIBUS - 44H</v>
          </cell>
          <cell r="E125">
            <v>44</v>
          </cell>
          <cell r="F125" t="e">
            <v>#N/A</v>
          </cell>
          <cell r="G125" t="str">
            <v>MOTORISTA DE ÔNIBUS - DIARISTA DIURNO - 44H</v>
          </cell>
        </row>
        <row r="126">
          <cell r="A126" t="str">
            <v>10043944</v>
          </cell>
          <cell r="B126">
            <v>1176</v>
          </cell>
          <cell r="C126">
            <v>100439</v>
          </cell>
          <cell r="D126" t="str">
            <v>MOTORISTA DE ONIBUS (PERICULOSIDADE) - 44H</v>
          </cell>
          <cell r="E126">
            <v>44</v>
          </cell>
          <cell r="F126" t="e">
            <v>#N/A</v>
          </cell>
          <cell r="G126" t="str">
            <v>MOTORISTA DE ÔNIBUS - (PERIC.) - DIARISTA DIURNO - 44H</v>
          </cell>
        </row>
        <row r="127">
          <cell r="A127" t="str">
            <v>15680944</v>
          </cell>
          <cell r="B127">
            <v>2011</v>
          </cell>
          <cell r="C127">
            <v>156809</v>
          </cell>
          <cell r="D127" t="str">
            <v>MOTORISTA DE PASSAGEIROS 12X36 DIURNO - 44H</v>
          </cell>
          <cell r="E127">
            <v>44</v>
          </cell>
          <cell r="F127" t="e">
            <v>#N/A</v>
          </cell>
          <cell r="G127" t="str">
            <v>MOTORISTA DE PASSAGEIROS - 12x36 DIURNO - 44H</v>
          </cell>
        </row>
        <row r="128">
          <cell r="A128" t="str">
            <v>14622644</v>
          </cell>
          <cell r="B128">
            <v>1904</v>
          </cell>
          <cell r="C128">
            <v>146226</v>
          </cell>
          <cell r="D128" t="str">
            <v>MOTORISTA DE VEICULO DE SERVICO - (PERICULOSIDADE) - 40H OU 44H</v>
          </cell>
          <cell r="E128">
            <v>44</v>
          </cell>
          <cell r="F128" t="e">
            <v>#N/A</v>
          </cell>
          <cell r="G128" t="str">
            <v>MOTORISTA DE VEICULO DE SERVICO - (PERIC.) - DIARISTA DIURNO - 44H</v>
          </cell>
        </row>
        <row r="129">
          <cell r="A129" t="str">
            <v>6386044</v>
          </cell>
          <cell r="B129">
            <v>96</v>
          </cell>
          <cell r="C129">
            <v>63860</v>
          </cell>
          <cell r="D129" t="str">
            <v>MOTORISTA DE VEICULO DE SERVICO - 12X36 DIURNO - 44H</v>
          </cell>
          <cell r="E129">
            <v>44</v>
          </cell>
          <cell r="F129" t="e">
            <v>#N/A</v>
          </cell>
          <cell r="G129" t="str">
            <v>MOTORISTA DE VEICULO DE SERVICO - 12x36 DIURNO - 44H</v>
          </cell>
        </row>
        <row r="130">
          <cell r="A130" t="str">
            <v>6387844</v>
          </cell>
          <cell r="B130">
            <v>97</v>
          </cell>
          <cell r="C130">
            <v>63878</v>
          </cell>
          <cell r="D130" t="str">
            <v>MOTORISTA DE VEICULO DE SERVICO - 12X36 NOTURNO - 44H</v>
          </cell>
          <cell r="E130">
            <v>44</v>
          </cell>
          <cell r="F130" t="e">
            <v>#N/A</v>
          </cell>
          <cell r="G130" t="str">
            <v>MOTORISTA DE VEICULO DE SERVICO - 12x36 NOTURNO - 44H</v>
          </cell>
        </row>
        <row r="131">
          <cell r="A131" t="str">
            <v>12908940</v>
          </cell>
          <cell r="B131">
            <v>1430</v>
          </cell>
          <cell r="C131">
            <v>129089</v>
          </cell>
          <cell r="D131" t="str">
            <v>MOTORISTA DE VEICULO DE SERVICO - 40 H</v>
          </cell>
          <cell r="E131">
            <v>40</v>
          </cell>
          <cell r="F131" t="e">
            <v>#N/A</v>
          </cell>
          <cell r="G131" t="str">
            <v>MOTORISTA DE VEICULO DE SERVICO - DIARISTA DIURNO - 40H</v>
          </cell>
        </row>
        <row r="132">
          <cell r="A132" t="str">
            <v>6336344</v>
          </cell>
          <cell r="B132">
            <v>94</v>
          </cell>
          <cell r="C132">
            <v>63363</v>
          </cell>
          <cell r="D132" t="str">
            <v>MOTORISTA DE VEICULO DE SERVICO - 44H</v>
          </cell>
          <cell r="E132">
            <v>44</v>
          </cell>
          <cell r="F132" t="e">
            <v>#N/A</v>
          </cell>
          <cell r="G132" t="str">
            <v>MOTORISTA DE VEICULO DE SERVICO - DIARISTA DIURNO - 44H</v>
          </cell>
        </row>
        <row r="133">
          <cell r="A133" t="str">
            <v>14625044</v>
          </cell>
          <cell r="B133" t="str">
            <v>E</v>
          </cell>
          <cell r="C133">
            <v>146250</v>
          </cell>
          <cell r="D133" t="str">
            <v>MOTORISTA DE VEICULO DE SERVICO EXECUTIVO - 44H</v>
          </cell>
          <cell r="E133">
            <v>44</v>
          </cell>
          <cell r="F133" t="e">
            <v>#N/A</v>
          </cell>
          <cell r="G133" t="str">
            <v>MOTORISTA EXECUTIVO - DIARISTA DIURNO - 44H</v>
          </cell>
        </row>
        <row r="134">
          <cell r="A134" t="str">
            <v>10550344</v>
          </cell>
          <cell r="B134">
            <v>1177</v>
          </cell>
          <cell r="C134">
            <v>105503</v>
          </cell>
          <cell r="D134" t="str">
            <v>MOTORISTA EXECUTIVO 12X36 DIURNO - 44 H</v>
          </cell>
          <cell r="E134">
            <v>44</v>
          </cell>
          <cell r="F134" t="e">
            <v>#N/A</v>
          </cell>
          <cell r="G134" t="str">
            <v>MOTORISTA EXECUTIVO - 12x36 DIURNO - 44H</v>
          </cell>
        </row>
        <row r="135">
          <cell r="A135" t="str">
            <v>6547140</v>
          </cell>
          <cell r="B135">
            <v>318</v>
          </cell>
          <cell r="C135">
            <v>65471</v>
          </cell>
          <cell r="D135" t="str">
            <v>OPERADOR DE ACABAMENTO GRAFICO - 30H, 36H, 40H OU 44H</v>
          </cell>
          <cell r="E135">
            <v>40</v>
          </cell>
          <cell r="F135" t="e">
            <v>#N/A</v>
          </cell>
          <cell r="G135" t="str">
            <v>OPERADOR DE ACABAMENTO GRÁFICO - DIARISTA DIURNO - 40H</v>
          </cell>
        </row>
        <row r="136">
          <cell r="A136" t="str">
            <v>14624240</v>
          </cell>
          <cell r="B136">
            <v>1905</v>
          </cell>
          <cell r="C136">
            <v>146242</v>
          </cell>
          <cell r="D136" t="str">
            <v>OPERADOR DE BARRAGEM - 40H OU 44H</v>
          </cell>
          <cell r="E136">
            <v>40</v>
          </cell>
          <cell r="F136" t="e">
            <v>#N/A</v>
          </cell>
          <cell r="G136" t="str">
            <v>OPERADOR DE BARRAGEM - DIARISTA DIURNO - 40H</v>
          </cell>
        </row>
        <row r="137">
          <cell r="A137" t="str">
            <v>12905444</v>
          </cell>
          <cell r="B137">
            <v>1431</v>
          </cell>
          <cell r="C137">
            <v>129054</v>
          </cell>
          <cell r="D137" t="str">
            <v>OPERADOR DE CALDEIRA - (PERICULOSIDADE) - 12x36 NOTURNO - 44 H</v>
          </cell>
          <cell r="E137">
            <v>44</v>
          </cell>
          <cell r="F137" t="e">
            <v>#N/A</v>
          </cell>
          <cell r="G137" t="str">
            <v>OPERADOR DE CALDEIRA - (PERIC.) - 12x36 NOTURNO - 44H</v>
          </cell>
        </row>
        <row r="138">
          <cell r="A138" t="str">
            <v>6342844</v>
          </cell>
          <cell r="B138">
            <v>116</v>
          </cell>
          <cell r="C138">
            <v>63428</v>
          </cell>
          <cell r="D138" t="str">
            <v>OPERADOR DE CALDEIRA - 12X36 DIURNO (PERICULOSIDADE) - 44H</v>
          </cell>
          <cell r="E138">
            <v>44</v>
          </cell>
          <cell r="F138" t="e">
            <v>#N/A</v>
          </cell>
          <cell r="G138" t="str">
            <v>OPERADOR DE CALDEIRA - (PERIC.) - 12x36 DIURNO - 44H</v>
          </cell>
        </row>
        <row r="139">
          <cell r="A139" t="str">
            <v>6440844</v>
          </cell>
          <cell r="B139">
            <v>113</v>
          </cell>
          <cell r="C139">
            <v>64408</v>
          </cell>
          <cell r="D139" t="str">
            <v>OPERADOR DE CALDEIRA (PERICULOSIDADE) - 44H</v>
          </cell>
          <cell r="E139">
            <v>44</v>
          </cell>
          <cell r="F139" t="e">
            <v>#N/A</v>
          </cell>
          <cell r="G139" t="str">
            <v>OPERADOR DE CALDEIRA - (PERIC.) - DIARISTA DIURNO - 44H</v>
          </cell>
        </row>
        <row r="140">
          <cell r="A140" t="str">
            <v>10045530</v>
          </cell>
          <cell r="B140">
            <v>1308</v>
          </cell>
          <cell r="C140">
            <v>100455</v>
          </cell>
          <cell r="D140" t="str">
            <v>OPERADOR DE CIRCUITO FECHADO DE TELEVISAO (CFTV) (PERICULOSIDADE) - NOTURNO (0H AS 6H) E (18H AS 0H) - 30H -</v>
          </cell>
          <cell r="E140">
            <v>30</v>
          </cell>
          <cell r="F140" t="e">
            <v>#N/A</v>
          </cell>
          <cell r="G140" t="str">
            <v>OPERADOR DE CFTV (0H ÀS 6H) - (PERIC.) - ESCALA NOTURNA - 30H</v>
          </cell>
        </row>
        <row r="141">
          <cell r="A141" t="str">
            <v>10044736</v>
          </cell>
          <cell r="B141">
            <v>1178</v>
          </cell>
          <cell r="C141">
            <v>100447</v>
          </cell>
          <cell r="D141" t="str">
            <v>OPERADOR DE CIRCUITO FECHADO DE TELEVISAO - (PERICULOSIDADE) - (CFTV) - 30H  OU 36H</v>
          </cell>
          <cell r="E141">
            <v>36</v>
          </cell>
          <cell r="F141" t="e">
            <v>#N/A</v>
          </cell>
          <cell r="G141" t="str">
            <v>OPERADOR DE CFTV - (PERIC.) - ESCALA DIURNA - 36H</v>
          </cell>
        </row>
        <row r="142">
          <cell r="A142" t="str">
            <v>10553836</v>
          </cell>
          <cell r="B142">
            <v>1179</v>
          </cell>
          <cell r="C142">
            <v>105538</v>
          </cell>
          <cell r="D142" t="str">
            <v>OPERADOR DE CIRCUITO  FECHADO DE  TELEVISAO (CFTV ) - (PERICULOSIDADE) - NOTURNO - (18H AS 0H) - 36H</v>
          </cell>
          <cell r="E142">
            <v>36</v>
          </cell>
          <cell r="F142" t="e">
            <v>#N/A</v>
          </cell>
          <cell r="G142" t="str">
            <v>OPERADOR DE CFTV (18H ÀS 0H) - (PERIC.) - ESCALA NOTURNA - 36H</v>
          </cell>
        </row>
        <row r="143">
          <cell r="A143" t="str">
            <v>6329036</v>
          </cell>
          <cell r="B143">
            <v>1</v>
          </cell>
          <cell r="C143">
            <v>63290</v>
          </cell>
          <cell r="D143" t="str">
            <v>OPERADOR DE CIRCUITO  FECHADO DE  TELEVISAO (CFTV) - 30H OU 36H</v>
          </cell>
          <cell r="E143">
            <v>36</v>
          </cell>
          <cell r="F143" t="e">
            <v>#N/A</v>
          </cell>
          <cell r="G143" t="str">
            <v>OPERADOR DE CFTV - DIARISTA DIURNO - 36H</v>
          </cell>
        </row>
        <row r="144">
          <cell r="A144" t="str">
            <v>6374630</v>
          </cell>
          <cell r="B144">
            <v>4</v>
          </cell>
          <cell r="C144">
            <v>63746</v>
          </cell>
          <cell r="D144" t="str">
            <v>OPERADOR DE CIRCUITO  FECHADO DE TELEVISAO (CFTV) - NOTURNO (0H AS 6H) - 30H</v>
          </cell>
          <cell r="E144">
            <v>30</v>
          </cell>
          <cell r="F144" t="e">
            <v>#N/A</v>
          </cell>
          <cell r="G144" t="str">
            <v>OPERADOR DE CFTV (0H ÀS 6H) - DIARISTA NOTURNO - 30H</v>
          </cell>
        </row>
        <row r="145">
          <cell r="A145" t="str">
            <v>6373836</v>
          </cell>
          <cell r="B145">
            <v>5</v>
          </cell>
          <cell r="C145">
            <v>63738</v>
          </cell>
          <cell r="D145" t="str">
            <v>OPERADOR DE CIRCUITO  FECHADO DE TELEVISAO (CFTV) - NOTURNO (18H AS 0H) - 36H</v>
          </cell>
          <cell r="E145">
            <v>36</v>
          </cell>
          <cell r="F145" t="e">
            <v>#N/A</v>
          </cell>
          <cell r="G145" t="str">
            <v>OPERADOR DE CFTV (18H ÀS 0H) - DIARISTA NOTURNO - 36H</v>
          </cell>
        </row>
        <row r="146">
          <cell r="A146" t="str">
            <v>15846144</v>
          </cell>
          <cell r="B146" t="str">
            <v>C</v>
          </cell>
          <cell r="C146">
            <v>158461</v>
          </cell>
          <cell r="D146" t="str">
            <v>OPERADOR DE CIRCUITO FECHADO DE TELEVISAO (CFTV ) - (PERICULOSIDADE) - 12X36 DIURNO - 44H</v>
          </cell>
          <cell r="E146">
            <v>44</v>
          </cell>
          <cell r="F146" t="e">
            <v>#N/A</v>
          </cell>
          <cell r="G146" t="str">
            <v>OPERADOR DE CFTV - (PERIC.) - 12x36 DIURNO - 44H</v>
          </cell>
        </row>
        <row r="147">
          <cell r="A147" t="str">
            <v>15847044</v>
          </cell>
          <cell r="B147" t="str">
            <v>D</v>
          </cell>
          <cell r="C147">
            <v>158470</v>
          </cell>
          <cell r="D147" t="str">
            <v>OPERADOR DE CIRCUITO FECHADO DE TELEVISAO (CFTV ) - (PERICULOSIDADE) - 12X36 NOTURNO - 44H</v>
          </cell>
          <cell r="E147">
            <v>44</v>
          </cell>
          <cell r="F147" t="e">
            <v>#N/A</v>
          </cell>
          <cell r="G147" t="str">
            <v>OPERADOR DE CFTV - (PERIC.) - 12x36 NOTURNO - 44H</v>
          </cell>
        </row>
        <row r="148">
          <cell r="A148" t="str">
            <v>6343644</v>
          </cell>
          <cell r="B148">
            <v>117</v>
          </cell>
          <cell r="C148">
            <v>63436</v>
          </cell>
          <cell r="D148" t="str">
            <v>OPERADOR DE EMPILHADEIRA - 40 OU 44H</v>
          </cell>
          <cell r="E148">
            <v>44</v>
          </cell>
          <cell r="F148" t="e">
            <v>#N/A</v>
          </cell>
          <cell r="G148" t="str">
            <v>OPERADOR DE EMPILHADEIRA - DIARISTA DIURNO - 44H</v>
          </cell>
        </row>
        <row r="149">
          <cell r="A149" t="str">
            <v>6343640</v>
          </cell>
          <cell r="B149">
            <v>1906</v>
          </cell>
          <cell r="C149">
            <v>63436</v>
          </cell>
          <cell r="D149" t="str">
            <v>OPERADOR DE EMPILHADEIRA - 40 OU 44H</v>
          </cell>
          <cell r="E149">
            <v>40</v>
          </cell>
          <cell r="F149" t="e">
            <v>#N/A</v>
          </cell>
          <cell r="G149" t="str">
            <v>OPERADOR DE EMPILHADEIRA - DIARISTA DIURNO - 40H</v>
          </cell>
        </row>
        <row r="150">
          <cell r="A150" t="str">
            <v>6338040</v>
          </cell>
          <cell r="B150">
            <v>103</v>
          </cell>
          <cell r="C150">
            <v>63380</v>
          </cell>
          <cell r="D150" t="str">
            <v>OPERADOR DE MAQUINAS AGRICOLAS (PERICULOSIDADE) - 40H</v>
          </cell>
          <cell r="E150">
            <v>40</v>
          </cell>
          <cell r="F150" t="e">
            <v>#N/A</v>
          </cell>
          <cell r="G150" t="str">
            <v>OPERADOR DE MÁQUINAS AGRÍCOLAS - (PERIC.) - DIARISTA DIURNO - 40H</v>
          </cell>
        </row>
        <row r="151">
          <cell r="A151" t="str">
            <v>6347944</v>
          </cell>
          <cell r="B151">
            <v>140</v>
          </cell>
          <cell r="C151">
            <v>63479</v>
          </cell>
          <cell r="D151" t="str">
            <v>OPERADOR DE POCOS ARTESIANOS - 12X36 DIURNO - 44H</v>
          </cell>
          <cell r="E151">
            <v>44</v>
          </cell>
          <cell r="F151" t="e">
            <v>#N/A</v>
          </cell>
          <cell r="G151" t="str">
            <v>OPERADOR DE POÇOS ARTESIANOS - 12x36 DIURNO - 44H</v>
          </cell>
        </row>
        <row r="152">
          <cell r="A152" t="str">
            <v>6392444</v>
          </cell>
          <cell r="B152">
            <v>141</v>
          </cell>
          <cell r="C152">
            <v>63924</v>
          </cell>
          <cell r="D152" t="str">
            <v>OPERADOR DE POCOS ARTESIANOS - 12X36 NOTURNO - 44H</v>
          </cell>
          <cell r="E152">
            <v>44</v>
          </cell>
          <cell r="F152" t="e">
            <v>#N/A</v>
          </cell>
          <cell r="G152" t="str">
            <v>OPERADOR DE POÇOS ARTESIANOS - 12x36 NOTURNO - 44H</v>
          </cell>
        </row>
        <row r="153">
          <cell r="A153" t="str">
            <v>6367340</v>
          </cell>
          <cell r="B153">
            <v>407</v>
          </cell>
          <cell r="C153">
            <v>63673</v>
          </cell>
          <cell r="D153" t="str">
            <v>OPERADOR DE SOM E IMAGEM - 40H OU 44H</v>
          </cell>
          <cell r="E153">
            <v>40</v>
          </cell>
          <cell r="F153" t="e">
            <v>#N/A</v>
          </cell>
          <cell r="G153" t="str">
            <v>OPERADOR DE SOM E IMAGEM - DIARISTA DIURNO - 40H</v>
          </cell>
        </row>
        <row r="154">
          <cell r="A154" t="str">
            <v>6367344</v>
          </cell>
          <cell r="B154">
            <v>249</v>
          </cell>
          <cell r="C154">
            <v>63673</v>
          </cell>
          <cell r="D154" t="str">
            <v>OPERADOR DE SOM E IMAGEM - 40H OU 44H</v>
          </cell>
          <cell r="E154">
            <v>44</v>
          </cell>
          <cell r="F154" t="e">
            <v>#N/A</v>
          </cell>
          <cell r="G154" t="str">
            <v>OPERADOR DE SOM E IMAGEM - DIARISTA DIURNO - 44H</v>
          </cell>
        </row>
        <row r="155">
          <cell r="A155" t="str">
            <v>14923340</v>
          </cell>
          <cell r="B155">
            <v>1907</v>
          </cell>
          <cell r="C155">
            <v>149233</v>
          </cell>
          <cell r="D155" t="str">
            <v>OPERADOR FABRIL - 20H, 22H, 30H, 36H, 40H OU 44H</v>
          </cell>
          <cell r="E155">
            <v>40</v>
          </cell>
          <cell r="F155" t="e">
            <v>#N/A</v>
          </cell>
          <cell r="G155" t="str">
            <v>OPERADOR FABRIL - DIARISTA DIURNO - 40H</v>
          </cell>
        </row>
        <row r="156">
          <cell r="A156" t="str">
            <v>10635640</v>
          </cell>
          <cell r="B156">
            <v>1180</v>
          </cell>
          <cell r="C156">
            <v>106356</v>
          </cell>
          <cell r="D156" t="str">
            <v>ORIENTADOR AMBIENTAL - (PERICULOSIDADE)- 40H e 44 H</v>
          </cell>
          <cell r="E156">
            <v>40</v>
          </cell>
          <cell r="F156" t="e">
            <v>#N/A</v>
          </cell>
          <cell r="G156" t="str">
            <v>ORIENTADOR AMBIENTAL - (PERIC.) - DIARISTA DIURNO - 40H</v>
          </cell>
        </row>
        <row r="157">
          <cell r="A157" t="str">
            <v>10635644</v>
          </cell>
          <cell r="B157">
            <v>396</v>
          </cell>
          <cell r="C157">
            <v>106356</v>
          </cell>
          <cell r="D157" t="str">
            <v>ORIENTADOR AMBIENTAL - (PERICULOSIDADE)- 40H e 44 H</v>
          </cell>
          <cell r="E157">
            <v>44</v>
          </cell>
          <cell r="F157" t="e">
            <v>#N/A</v>
          </cell>
          <cell r="G157" t="str">
            <v>ORIENTADOR AMBIENTAL - (PERIC.) - DIARISTA DIURNO - 44H</v>
          </cell>
        </row>
        <row r="158">
          <cell r="A158" t="str">
            <v>6366540</v>
          </cell>
          <cell r="B158">
            <v>247</v>
          </cell>
          <cell r="C158">
            <v>63665</v>
          </cell>
          <cell r="D158" t="str">
            <v>ORIENTADOR AMBIENTAL - 40H</v>
          </cell>
          <cell r="E158">
            <v>40</v>
          </cell>
          <cell r="F158" t="e">
            <v>#N/A</v>
          </cell>
          <cell r="G158" t="str">
            <v>ORIENTADOR AMBIENTAL - DIARISTA DIURNO - 40H</v>
          </cell>
        </row>
        <row r="159">
          <cell r="A159" t="str">
            <v>10634844</v>
          </cell>
          <cell r="B159">
            <v>394</v>
          </cell>
          <cell r="C159">
            <v>106348</v>
          </cell>
          <cell r="D159" t="str">
            <v>ORIENTADOR AMBIENTAL  - 44 HORAS</v>
          </cell>
          <cell r="E159">
            <v>44</v>
          </cell>
          <cell r="F159" t="e">
            <v>#N/A</v>
          </cell>
          <cell r="G159" t="str">
            <v>ORIENTADOR AMBIENTAL - DIARISTA DIURNO - 44H</v>
          </cell>
        </row>
        <row r="160">
          <cell r="A160" t="str">
            <v>7015744</v>
          </cell>
          <cell r="B160">
            <v>402</v>
          </cell>
          <cell r="C160">
            <v>70157</v>
          </cell>
          <cell r="D160" t="str">
            <v>PORTEIRO - 12X36 DIURNO - (PERICULOSIDADE) - 44H</v>
          </cell>
          <cell r="E160">
            <v>44</v>
          </cell>
          <cell r="F160" t="e">
            <v>#N/A</v>
          </cell>
          <cell r="G160" t="str">
            <v>PORTEIRO - (PERIC.) - 12x36 DIURNO - 44H</v>
          </cell>
        </row>
        <row r="161">
          <cell r="A161" t="str">
            <v>6441644</v>
          </cell>
          <cell r="B161">
            <v>168</v>
          </cell>
          <cell r="C161">
            <v>64416</v>
          </cell>
          <cell r="D161" t="str">
            <v>PORTEIRO - 12X36 DIURNO - 44H</v>
          </cell>
          <cell r="E161">
            <v>44</v>
          </cell>
          <cell r="F161" t="e">
            <v>#N/A</v>
          </cell>
          <cell r="G161" t="str">
            <v>PORTEIRO - 12x36 DIURNO - 44H</v>
          </cell>
        </row>
        <row r="162">
          <cell r="A162" t="str">
            <v>7016544</v>
          </cell>
          <cell r="B162">
            <v>403</v>
          </cell>
          <cell r="C162">
            <v>70165</v>
          </cell>
          <cell r="D162" t="str">
            <v>PORTEIRO - 12X36 NOTURNO - (PERICULOSIDADE) - 44H</v>
          </cell>
          <cell r="E162">
            <v>44</v>
          </cell>
          <cell r="F162" t="e">
            <v>#N/A</v>
          </cell>
          <cell r="G162" t="str">
            <v>PORTEIRO - (PERIC.) - 12x36 NOTURNO - 44H</v>
          </cell>
        </row>
        <row r="163">
          <cell r="A163" t="str">
            <v>6397544</v>
          </cell>
          <cell r="B163">
            <v>169</v>
          </cell>
          <cell r="C163">
            <v>63975</v>
          </cell>
          <cell r="D163" t="str">
            <v>PORTEIRO - 12X36 NOTURNO - 44H</v>
          </cell>
          <cell r="E163">
            <v>44</v>
          </cell>
          <cell r="F163" t="e">
            <v>#N/A</v>
          </cell>
          <cell r="G163" t="str">
            <v>PORTEIRO - 12x36 NOTURNO - 44H</v>
          </cell>
        </row>
        <row r="164">
          <cell r="A164" t="str">
            <v>6352530</v>
          </cell>
          <cell r="B164">
            <v>167</v>
          </cell>
          <cell r="C164">
            <v>63525</v>
          </cell>
          <cell r="D164" t="str">
            <v>PORTEIRO - 30H, 40H OU 44H</v>
          </cell>
          <cell r="E164">
            <v>30</v>
          </cell>
          <cell r="F164" t="e">
            <v>#N/A</v>
          </cell>
          <cell r="G164" t="str">
            <v>PORTEIRO - DIARISTA DIURNO - 30H</v>
          </cell>
        </row>
        <row r="165">
          <cell r="A165" t="str">
            <v>6352540</v>
          </cell>
          <cell r="B165">
            <v>165</v>
          </cell>
          <cell r="C165">
            <v>63525</v>
          </cell>
          <cell r="D165" t="str">
            <v>PORTEIRO - 30H, 40H OU 44H</v>
          </cell>
          <cell r="E165">
            <v>40</v>
          </cell>
          <cell r="F165" t="e">
            <v>#N/A</v>
          </cell>
          <cell r="G165" t="str">
            <v>PORTEIRO - DIARISTA DIURNO - 40H</v>
          </cell>
        </row>
        <row r="166">
          <cell r="A166" t="str">
            <v>6352544</v>
          </cell>
          <cell r="B166">
            <v>164</v>
          </cell>
          <cell r="C166">
            <v>63525</v>
          </cell>
          <cell r="D166" t="str">
            <v>PORTEIRO - 30H, 40H OU 44H</v>
          </cell>
          <cell r="E166">
            <v>44</v>
          </cell>
          <cell r="F166" t="e">
            <v>#N/A</v>
          </cell>
          <cell r="G166" t="str">
            <v>PORTEIRO - DIARISTA DIURNO - 44H</v>
          </cell>
        </row>
        <row r="167">
          <cell r="A167" t="str">
            <v>6396736</v>
          </cell>
          <cell r="B167">
            <v>177</v>
          </cell>
          <cell r="C167">
            <v>63967</v>
          </cell>
          <cell r="D167" t="str">
            <v>PORTEIRO - NOTURNO (18H AS 0H) - 36H</v>
          </cell>
          <cell r="E167">
            <v>36</v>
          </cell>
          <cell r="F167" t="e">
            <v>#N/A</v>
          </cell>
          <cell r="G167" t="str">
            <v>PORTEIRO (18H ÀS 0H) - ESCALA NOTURNA - 36H</v>
          </cell>
        </row>
        <row r="168">
          <cell r="A168" t="str">
            <v>6375444</v>
          </cell>
          <cell r="B168">
            <v>176</v>
          </cell>
          <cell r="C168">
            <v>63754</v>
          </cell>
          <cell r="D168" t="str">
            <v>PORTEIRO - NOTURNO (22H AS 6H) - 44H</v>
          </cell>
          <cell r="E168">
            <v>44</v>
          </cell>
          <cell r="F168" t="e">
            <v>#N/A</v>
          </cell>
          <cell r="G168" t="str">
            <v>PORTEIRO (22H ÀS 6H) - DIARISTA NOTURNO - 44H</v>
          </cell>
        </row>
        <row r="169">
          <cell r="A169" t="str">
            <v>10565130</v>
          </cell>
          <cell r="B169">
            <v>1181</v>
          </cell>
          <cell r="C169">
            <v>105651</v>
          </cell>
          <cell r="D169" t="str">
            <v>PORTEIRO (COM SUBSTITUICA) - 30H, 36H, 40H OU 44H</v>
          </cell>
          <cell r="E169">
            <v>30</v>
          </cell>
          <cell r="F169" t="e">
            <v>#N/A</v>
          </cell>
          <cell r="G169" t="str">
            <v>PORTEIRO (SUBS. ABSENT.) - DIARISTA DIURNO - 30H</v>
          </cell>
        </row>
        <row r="170">
          <cell r="A170" t="str">
            <v>10565140</v>
          </cell>
          <cell r="B170">
            <v>1182</v>
          </cell>
          <cell r="C170">
            <v>105651</v>
          </cell>
          <cell r="D170" t="str">
            <v>PORTEIRO (COM SUBSTITUICA) - 30H, 36H, 40H OU 44H</v>
          </cell>
          <cell r="E170">
            <v>40</v>
          </cell>
          <cell r="F170" t="e">
            <v>#N/A</v>
          </cell>
          <cell r="G170" t="str">
            <v>PORTEIRO (SUBS. ABSENT.) - DIARISTA DIURNO - 40H</v>
          </cell>
        </row>
        <row r="171">
          <cell r="A171" t="str">
            <v>10565144</v>
          </cell>
          <cell r="B171">
            <v>1183</v>
          </cell>
          <cell r="C171">
            <v>105651</v>
          </cell>
          <cell r="D171" t="str">
            <v>PORTEIRO (COM SUBSTITUICA) - 30H, 36H, 40H OU 44H</v>
          </cell>
          <cell r="E171">
            <v>44</v>
          </cell>
          <cell r="F171" t="e">
            <v>#N/A</v>
          </cell>
          <cell r="G171" t="str">
            <v>PORTEIRO (SUBS. ABSENT.) - DIARISTA DIURNO - 44H</v>
          </cell>
        </row>
        <row r="172">
          <cell r="A172" t="str">
            <v>10631344</v>
          </cell>
          <cell r="B172">
            <v>1184</v>
          </cell>
          <cell r="C172">
            <v>106313</v>
          </cell>
          <cell r="D172" t="str">
            <v>PORTEIRO (COM SUBSTITUICAO) - (PERICULOSIDADE) - 12X36 DIURNO - 44 HORAS</v>
          </cell>
          <cell r="E172">
            <v>44</v>
          </cell>
          <cell r="F172" t="e">
            <v>#N/A</v>
          </cell>
          <cell r="G172" t="str">
            <v>PORTEIRO (SUBS. ABSENT.) - (PERIC.) - 12x36 DIURNO - 44H</v>
          </cell>
        </row>
        <row r="173">
          <cell r="A173" t="str">
            <v>10632144</v>
          </cell>
          <cell r="B173">
            <v>1185</v>
          </cell>
          <cell r="C173">
            <v>106321</v>
          </cell>
          <cell r="D173" t="str">
            <v>PORTEIRO (COM SUBSTITUICAO) - (PERICULOSIDADE) - 12X36 NOTURNO - 44 HORAS</v>
          </cell>
          <cell r="E173">
            <v>44</v>
          </cell>
          <cell r="F173" t="e">
            <v>#N/A</v>
          </cell>
          <cell r="G173" t="str">
            <v>PORTEIRO (SUBS. ABSENT.) - (PERIC.) - 12x36 NOTURNO - 44H</v>
          </cell>
        </row>
        <row r="174">
          <cell r="A174" t="str">
            <v>10630544</v>
          </cell>
          <cell r="B174">
            <v>1186</v>
          </cell>
          <cell r="C174">
            <v>106305</v>
          </cell>
          <cell r="D174" t="str">
            <v>PORTEIRO (COM SUBSTITUICAO) - (PERICULOSIDADE)  - 30H, 36H,40H OU 44H</v>
          </cell>
          <cell r="E174">
            <v>44</v>
          </cell>
          <cell r="F174" t="e">
            <v>#N/A</v>
          </cell>
          <cell r="G174" t="str">
            <v>PORTEIRO (SUBS. ABSENT.) - (PERIC.) - DIARISTA DIURNO - 44H</v>
          </cell>
        </row>
        <row r="175">
          <cell r="A175" t="str">
            <v>10566044</v>
          </cell>
          <cell r="B175">
            <v>1187</v>
          </cell>
          <cell r="C175">
            <v>105660</v>
          </cell>
          <cell r="D175" t="str">
            <v>PORTEIRO (COM SUBSTITUICAO) - 12X36 DIURNO - 44H</v>
          </cell>
          <cell r="E175">
            <v>44</v>
          </cell>
          <cell r="F175" t="e">
            <v>#N/A</v>
          </cell>
          <cell r="G175" t="str">
            <v>PORTEIRO (SUBS. ABSENT.) - 12x36 DIURNO - 44H</v>
          </cell>
        </row>
        <row r="176">
          <cell r="A176" t="str">
            <v>10567844</v>
          </cell>
          <cell r="B176">
            <v>1188</v>
          </cell>
          <cell r="C176">
            <v>105678</v>
          </cell>
          <cell r="D176" t="str">
            <v>PORTEIRO (COM SUBSTITUICAO) - 12X36 NOTURNO - 44H</v>
          </cell>
          <cell r="E176">
            <v>44</v>
          </cell>
          <cell r="F176" t="e">
            <v>#N/A</v>
          </cell>
          <cell r="G176" t="str">
            <v>PORTEIRO (SUBS. ABSENT.) - 12x36 NOTURNO - 44H</v>
          </cell>
        </row>
        <row r="177">
          <cell r="A177" t="str">
            <v>10636440</v>
          </cell>
          <cell r="B177">
            <v>1189</v>
          </cell>
          <cell r="C177">
            <v>106364</v>
          </cell>
          <cell r="D177" t="str">
            <v>PORTEIRO (COM SUBSTITUICAO) - NOTURNO (14H AS 23H) - 40 HORAS</v>
          </cell>
          <cell r="E177">
            <v>40</v>
          </cell>
          <cell r="F177" t="e">
            <v>#N/A</v>
          </cell>
          <cell r="G177" t="str">
            <v>PORTEIRO (SUBS. ABSENT.) (14H ÀS 23H) - 1H NOTURNA - 40H</v>
          </cell>
        </row>
        <row r="178">
          <cell r="A178" t="str">
            <v>10568636</v>
          </cell>
          <cell r="B178">
            <v>1190</v>
          </cell>
          <cell r="C178">
            <v>105686</v>
          </cell>
          <cell r="D178" t="str">
            <v>PORTEIRO NOTURNO (COM SUBSTITUICAO) - (18H AS OH)  - 36H</v>
          </cell>
          <cell r="E178">
            <v>36</v>
          </cell>
          <cell r="F178" t="e">
            <v>#N/A</v>
          </cell>
          <cell r="G178" t="str">
            <v>PORTEIRO (SUBS. ABSENT.) (18H ÀS 0H) - DIARISTA NOTURNO - 36H</v>
          </cell>
        </row>
        <row r="179">
          <cell r="A179" t="str">
            <v>10569444</v>
          </cell>
          <cell r="B179">
            <v>1191</v>
          </cell>
          <cell r="C179">
            <v>105694</v>
          </cell>
          <cell r="D179" t="str">
            <v>PORTEIRO NOTURNO (COM SUBSTITUICAO) - (22H AS 6H) - 44H</v>
          </cell>
          <cell r="E179">
            <v>44</v>
          </cell>
          <cell r="F179" t="e">
            <v>#N/A</v>
          </cell>
          <cell r="G179" t="str">
            <v>PORTEIRO (SUBS. ABSENT.) (22H ÀS 6H) - DIARISTA NOTURNO - 44H</v>
          </cell>
        </row>
        <row r="180">
          <cell r="A180" t="str">
            <v>6404144</v>
          </cell>
          <cell r="B180">
            <v>214</v>
          </cell>
          <cell r="C180">
            <v>64041</v>
          </cell>
          <cell r="D180" t="str">
            <v>RECEPCIONISTA - 12X36 DIURNO - 44H</v>
          </cell>
          <cell r="E180">
            <v>44</v>
          </cell>
          <cell r="F180" t="e">
            <v>#N/A</v>
          </cell>
          <cell r="G180" t="str">
            <v>RECEPCIONISTA - 12x36 DIURNO - 44H</v>
          </cell>
        </row>
        <row r="181">
          <cell r="A181" t="str">
            <v>6405044</v>
          </cell>
          <cell r="B181">
            <v>215</v>
          </cell>
          <cell r="C181">
            <v>64050</v>
          </cell>
          <cell r="D181" t="str">
            <v>RECEPCIONISTA - 12X36 NOTURNO - 44H</v>
          </cell>
          <cell r="E181">
            <v>44</v>
          </cell>
          <cell r="F181" t="e">
            <v>#N/A</v>
          </cell>
          <cell r="G181" t="str">
            <v>RECEPCIONISTA - 12x36 NOTURNO - 44H</v>
          </cell>
        </row>
        <row r="182">
          <cell r="A182" t="str">
            <v>6358430</v>
          </cell>
          <cell r="B182">
            <v>211</v>
          </cell>
          <cell r="C182">
            <v>63584</v>
          </cell>
          <cell r="D182" t="str">
            <v>RECEPCIONISTA - 30H, 36H, 40H OU 44H</v>
          </cell>
          <cell r="E182">
            <v>30</v>
          </cell>
          <cell r="F182" t="e">
            <v>#N/A</v>
          </cell>
          <cell r="G182" t="str">
            <v>RECEPCIONISTA - DIARISTA DIURNO - 30H</v>
          </cell>
        </row>
        <row r="183">
          <cell r="A183" t="str">
            <v>6358436</v>
          </cell>
          <cell r="B183">
            <v>210</v>
          </cell>
          <cell r="C183">
            <v>63584</v>
          </cell>
          <cell r="D183" t="str">
            <v>RECEPCIONISTA - 30H, 36H, 40H OU 44H</v>
          </cell>
          <cell r="E183">
            <v>36</v>
          </cell>
          <cell r="F183" t="e">
            <v>#N/A</v>
          </cell>
          <cell r="G183" t="str">
            <v>RECEPCIONISTA - DIARISTA DIURNO - 36H</v>
          </cell>
        </row>
        <row r="184">
          <cell r="A184" t="str">
            <v>6358440</v>
          </cell>
          <cell r="B184">
            <v>209</v>
          </cell>
          <cell r="C184">
            <v>63584</v>
          </cell>
          <cell r="D184" t="str">
            <v>RECEPCIONISTA - 30H, 36H, 40H OU 44H</v>
          </cell>
          <cell r="E184">
            <v>40</v>
          </cell>
          <cell r="F184" t="e">
            <v>#N/A</v>
          </cell>
          <cell r="G184" t="str">
            <v>RECEPCIONISTA - DIARISTA DIURNO - 40H</v>
          </cell>
        </row>
        <row r="185">
          <cell r="A185" t="str">
            <v>6358444</v>
          </cell>
          <cell r="B185">
            <v>208</v>
          </cell>
          <cell r="C185">
            <v>63584</v>
          </cell>
          <cell r="D185" t="str">
            <v>RECEPCIONISTA - 30H, 36H, 40H OU 44H</v>
          </cell>
          <cell r="E185">
            <v>44</v>
          </cell>
          <cell r="F185" t="e">
            <v>#N/A</v>
          </cell>
          <cell r="G185" t="str">
            <v>RECEPCIONISTA - DIARISTA DIURNO - 44H</v>
          </cell>
        </row>
        <row r="186">
          <cell r="A186" t="str">
            <v>15681740</v>
          </cell>
          <cell r="B186">
            <v>2012</v>
          </cell>
          <cell r="C186">
            <v>156817</v>
          </cell>
          <cell r="D186" t="str">
            <v>SUPERVISOR DE SERVICOS - 40H OU 44H</v>
          </cell>
          <cell r="E186">
            <v>40</v>
          </cell>
          <cell r="F186" t="e">
            <v>#N/A</v>
          </cell>
          <cell r="G186" t="str">
            <v>SUPERVISOR DE SERVIÇO - DIARISTA DIURNO</v>
          </cell>
        </row>
        <row r="187">
          <cell r="A187" t="str">
            <v>10637230</v>
          </cell>
          <cell r="B187">
            <v>1192</v>
          </cell>
          <cell r="C187">
            <v>106372</v>
          </cell>
          <cell r="D187" t="str">
            <v>SUPORTE ADMINISTRATIVO - (PERICULOSIDADE) -30H,36H,40H OU 44H</v>
          </cell>
          <cell r="E187">
            <v>30</v>
          </cell>
          <cell r="F187" t="e">
            <v>#N/A</v>
          </cell>
          <cell r="G187" t="str">
            <v>SUPORTE ADMINISTRATIVO - (PERIC.) - DIARISTA DIURNO - 30H</v>
          </cell>
        </row>
        <row r="188">
          <cell r="A188" t="str">
            <v>10637240</v>
          </cell>
          <cell r="B188">
            <v>1193</v>
          </cell>
          <cell r="C188">
            <v>106372</v>
          </cell>
          <cell r="D188" t="str">
            <v>SUPORTE ADMINISTRATIVO - (PERICULOSIDADE) -30H,36H,40H OU 44H</v>
          </cell>
          <cell r="E188">
            <v>40</v>
          </cell>
          <cell r="F188" t="e">
            <v>#N/A</v>
          </cell>
          <cell r="G188" t="str">
            <v>SUPORTE ADMINISTRATIVO - (PERIC.) - DIARISTA DIURNO - 40H</v>
          </cell>
        </row>
        <row r="189">
          <cell r="A189" t="str">
            <v>6382744</v>
          </cell>
          <cell r="B189">
            <v>67</v>
          </cell>
          <cell r="C189">
            <v>63827</v>
          </cell>
          <cell r="D189" t="str">
            <v>SUPORTE ADMINISTRATIVO, 12X36, DIURNO - 44H</v>
          </cell>
          <cell r="E189">
            <v>44</v>
          </cell>
          <cell r="F189" t="e">
            <v>#N/A</v>
          </cell>
          <cell r="G189" t="str">
            <v>SUPORTE ADMINISTRATIVO - 12x36 DIURNO - 44H</v>
          </cell>
        </row>
        <row r="190">
          <cell r="A190" t="str">
            <v>6333940</v>
          </cell>
          <cell r="B190">
            <v>61</v>
          </cell>
          <cell r="C190">
            <v>63339</v>
          </cell>
          <cell r="D190" t="str">
            <v>SUPORTE ADMINISTRATIVO - 30H, 36H, 40H OU 44H</v>
          </cell>
          <cell r="E190">
            <v>40</v>
          </cell>
          <cell r="F190" t="e">
            <v>#N/A</v>
          </cell>
          <cell r="G190" t="str">
            <v>SUPORTE ADMINISTRATIVO - DIARISTA DIURNO - 40H</v>
          </cell>
        </row>
        <row r="191">
          <cell r="A191" t="str">
            <v>6333930</v>
          </cell>
          <cell r="B191">
            <v>63</v>
          </cell>
          <cell r="C191">
            <v>63339</v>
          </cell>
          <cell r="D191" t="str">
            <v>SUPORTE ADMINISTRATIVO - 30H, 36H, 40H OU 44H</v>
          </cell>
          <cell r="E191">
            <v>30</v>
          </cell>
          <cell r="F191" t="e">
            <v>#N/A</v>
          </cell>
          <cell r="G191" t="str">
            <v>SUPORTE ADMINISTRATIVO - DIARISTA DIURNO - 30H</v>
          </cell>
        </row>
        <row r="192">
          <cell r="A192" t="str">
            <v>6333936</v>
          </cell>
          <cell r="B192">
            <v>62</v>
          </cell>
          <cell r="C192">
            <v>63339</v>
          </cell>
          <cell r="D192" t="str">
            <v>SUPORTE ADMINISTRATIVO - 30H, 36H, 40H OU 44H</v>
          </cell>
          <cell r="E192">
            <v>36</v>
          </cell>
          <cell r="F192" t="e">
            <v>#N/A</v>
          </cell>
          <cell r="G192" t="str">
            <v>SUPORTE ADMINISTRATIVO - DIARISTA DIURNO - 36H</v>
          </cell>
        </row>
        <row r="193">
          <cell r="A193" t="str">
            <v>6333944</v>
          </cell>
          <cell r="B193">
            <v>60</v>
          </cell>
          <cell r="C193">
            <v>63339</v>
          </cell>
          <cell r="D193" t="str">
            <v>SUPORTE ADMINISTRATIVO - 30H, 36H, 40H OU 44H</v>
          </cell>
          <cell r="E193">
            <v>44</v>
          </cell>
          <cell r="F193" t="e">
            <v>#N/A</v>
          </cell>
          <cell r="G193" t="str">
            <v>SUPORTE ADMINISTRATIVO - DIARISTA DIURNO - 44H</v>
          </cell>
        </row>
        <row r="194">
          <cell r="A194" t="str">
            <v>10562744</v>
          </cell>
          <cell r="B194">
            <v>1194</v>
          </cell>
          <cell r="C194">
            <v>105627</v>
          </cell>
          <cell r="D194" t="str">
            <v>SUPORTE ADMINISTRATIVO COM UNIFORME - 12x36 DIURNO - 44H</v>
          </cell>
          <cell r="E194">
            <v>44</v>
          </cell>
          <cell r="F194" t="e">
            <v>#N/A</v>
          </cell>
          <cell r="G194" t="str">
            <v>SUPORTE ADMINISTRATIVO (COM UNIF.) - 12x36 DIURNO - 44H</v>
          </cell>
        </row>
        <row r="195">
          <cell r="A195" t="str">
            <v>10563544</v>
          </cell>
          <cell r="B195">
            <v>1195</v>
          </cell>
          <cell r="C195">
            <v>105635</v>
          </cell>
          <cell r="D195" t="str">
            <v>SUPORTE ADMINISTRATIVO COM UNIFORME - 12x36 NOTURNO - 44H</v>
          </cell>
          <cell r="E195">
            <v>44</v>
          </cell>
          <cell r="F195" t="e">
            <v>#N/A</v>
          </cell>
          <cell r="G195" t="str">
            <v>SUPORTE ADMINISTRATIVO (COM UNIF.) - 12x36 NOTURNO - 44H</v>
          </cell>
        </row>
        <row r="196">
          <cell r="A196" t="str">
            <v>10561940</v>
          </cell>
          <cell r="B196">
            <v>1197</v>
          </cell>
          <cell r="C196">
            <v>105619</v>
          </cell>
          <cell r="D196" t="str">
            <v>SUPORTE ADMINISTRATIVO COM UNIFORME - 30H, 36H, 40H OU 44H</v>
          </cell>
          <cell r="E196">
            <v>40</v>
          </cell>
          <cell r="F196" t="e">
            <v>#N/A</v>
          </cell>
          <cell r="G196" t="str">
            <v>SUPORTE ADMINISTRATIVO (COM UNIF.) - DIARISTA DIURNO - 40H</v>
          </cell>
        </row>
        <row r="197">
          <cell r="A197" t="str">
            <v>10561930</v>
          </cell>
          <cell r="B197">
            <v>1196</v>
          </cell>
          <cell r="C197">
            <v>105619</v>
          </cell>
          <cell r="D197" t="str">
            <v>SUPORTE ADMINISTRATIVO COM UNIFORME - 30H, 36H, 40H OU 44H</v>
          </cell>
          <cell r="E197">
            <v>30</v>
          </cell>
          <cell r="F197" t="e">
            <v>#N/A</v>
          </cell>
          <cell r="G197" t="str">
            <v>SUPORTE ADMINISTRATIVO (COM UNIF.) - DIARISTA DIURNO - 30H</v>
          </cell>
        </row>
        <row r="198">
          <cell r="A198" t="str">
            <v>10561944</v>
          </cell>
          <cell r="B198">
            <v>1198</v>
          </cell>
          <cell r="C198">
            <v>105619</v>
          </cell>
          <cell r="D198" t="str">
            <v>SUPORTE ADMINISTRATIVO COM UNIFORME - 30H, 36H, 40H OU 44H</v>
          </cell>
          <cell r="E198">
            <v>44</v>
          </cell>
          <cell r="F198" t="e">
            <v>#N/A</v>
          </cell>
          <cell r="G198" t="str">
            <v>SUPORTE ADMINISTRATIVO (COM UNIF.) - DIARISTA DIURNO - 44H</v>
          </cell>
        </row>
        <row r="199">
          <cell r="A199" t="str">
            <v>6362240</v>
          </cell>
          <cell r="B199">
            <v>228</v>
          </cell>
          <cell r="C199">
            <v>63622</v>
          </cell>
          <cell r="D199" t="str">
            <v>TECNICO EM MANUTENCAO VEICULAR - 40H OU 44H</v>
          </cell>
          <cell r="E199">
            <v>40</v>
          </cell>
          <cell r="F199" t="e">
            <v>#N/A</v>
          </cell>
          <cell r="G199" t="str">
            <v>TÉCNICO EM MANUTENÇÃO VEICULAR - DIARISTA DIURNO - 40H</v>
          </cell>
        </row>
        <row r="200">
          <cell r="A200" t="str">
            <v>6362244</v>
          </cell>
          <cell r="B200">
            <v>227</v>
          </cell>
          <cell r="C200">
            <v>63622</v>
          </cell>
          <cell r="D200" t="str">
            <v>TECNICO EM MANUTENCAO VEICULAR - 40H OU 44H</v>
          </cell>
          <cell r="E200">
            <v>44</v>
          </cell>
          <cell r="F200" t="e">
            <v>#N/A</v>
          </cell>
          <cell r="G200" t="str">
            <v>TÉCNICO EM MANUTENÇÃO VEICULAR - DIARISTA DIURNO - 44H</v>
          </cell>
        </row>
        <row r="201">
          <cell r="A201" t="str">
            <v>6361440</v>
          </cell>
          <cell r="B201">
            <v>230</v>
          </cell>
          <cell r="C201">
            <v>63614</v>
          </cell>
          <cell r="D201" t="str">
            <v>TECNICO EM MANUTENCAO VEICULAR (PERICULOSIDADE) - 40H</v>
          </cell>
          <cell r="E201">
            <v>40</v>
          </cell>
          <cell r="F201" t="e">
            <v>#N/A</v>
          </cell>
          <cell r="G201" t="str">
            <v>TÉCNICO EM MANUTENÇÃO VEICULAR - (PERIC.) - DIARISTA DIURNO - 40H</v>
          </cell>
        </row>
        <row r="202">
          <cell r="A202" t="str">
            <v>6394044</v>
          </cell>
          <cell r="B202">
            <v>156</v>
          </cell>
          <cell r="C202">
            <v>63940</v>
          </cell>
          <cell r="D202" t="str">
            <v>TECNICO ESPECIALIZADO - 12X36 DIURNO - 44H</v>
          </cell>
          <cell r="E202">
            <v>44</v>
          </cell>
          <cell r="F202" t="e">
            <v>#N/A</v>
          </cell>
          <cell r="G202" t="str">
            <v>TÉCNICO ESPECIALIZADO - 12x36 DIURNO - 44H</v>
          </cell>
        </row>
        <row r="203">
          <cell r="A203" t="str">
            <v>6395944</v>
          </cell>
          <cell r="B203">
            <v>157</v>
          </cell>
          <cell r="C203">
            <v>63959</v>
          </cell>
          <cell r="D203" t="str">
            <v>TECNICO ESPECIALIZADO - 12X36 NOTURNO - 44H</v>
          </cell>
          <cell r="E203">
            <v>44</v>
          </cell>
          <cell r="F203" t="e">
            <v>#N/A</v>
          </cell>
          <cell r="G203" t="str">
            <v>TÉCNICO ESPECIALIZADO - 12x36 NOTURNO - 44H</v>
          </cell>
        </row>
        <row r="204">
          <cell r="A204" t="str">
            <v>6351740</v>
          </cell>
          <cell r="B204">
            <v>153</v>
          </cell>
          <cell r="C204">
            <v>63517</v>
          </cell>
          <cell r="D204" t="str">
            <v>TECNICO ESPECIALIZADO - 40H OU 44H</v>
          </cell>
          <cell r="E204">
            <v>40</v>
          </cell>
          <cell r="F204" t="e">
            <v>#N/A</v>
          </cell>
          <cell r="G204" t="str">
            <v>TÉCNICO ESPECIALIZADO - DIARISTA DIURNO - 40H</v>
          </cell>
        </row>
        <row r="205">
          <cell r="A205" t="str">
            <v>6351744</v>
          </cell>
          <cell r="B205">
            <v>152</v>
          </cell>
          <cell r="C205">
            <v>63517</v>
          </cell>
          <cell r="D205" t="str">
            <v>TECNICO ESPECIALIZADO - 40H OU 44H</v>
          </cell>
          <cell r="E205">
            <v>44</v>
          </cell>
          <cell r="F205" t="e">
            <v>#N/A</v>
          </cell>
          <cell r="G205" t="str">
            <v>TÉCNICO ESPECIALIZADO - DIARISTA DIURNO - 44H</v>
          </cell>
        </row>
        <row r="206">
          <cell r="A206" t="str">
            <v>6428940</v>
          </cell>
          <cell r="B206">
            <v>159</v>
          </cell>
          <cell r="C206">
            <v>64289</v>
          </cell>
          <cell r="D206" t="str">
            <v>TECNICO ESPECIALIZADO (PERICULOSIDADE) - 40H</v>
          </cell>
          <cell r="E206">
            <v>40</v>
          </cell>
          <cell r="F206" t="e">
            <v>#N/A</v>
          </cell>
          <cell r="G206" t="str">
            <v>TÉCNICO ESPECIALIZADO - (PERIC.) - DIARISTA DIURNO - 40H</v>
          </cell>
        </row>
        <row r="207">
          <cell r="A207" t="str">
            <v>14924140</v>
          </cell>
          <cell r="B207">
            <v>1908</v>
          </cell>
          <cell r="C207">
            <v>149241</v>
          </cell>
          <cell r="D207" t="str">
            <v>TECNICO FABRIL - 20H, 22H, 30H, 36H, 40H OU 44H</v>
          </cell>
          <cell r="E207">
            <v>40</v>
          </cell>
          <cell r="F207" t="e">
            <v>#N/A</v>
          </cell>
          <cell r="G207" t="str">
            <v>TÉCNICO FABRIL - DIARISTA DIURNO - 40H</v>
          </cell>
        </row>
        <row r="208">
          <cell r="A208" t="str">
            <v>6348740</v>
          </cell>
          <cell r="B208">
            <v>142</v>
          </cell>
          <cell r="C208">
            <v>63487</v>
          </cell>
          <cell r="D208" t="str">
            <v>TECNICO HIDROMETRISTA - 40H</v>
          </cell>
          <cell r="E208">
            <v>40</v>
          </cell>
          <cell r="F208" t="e">
            <v>#N/A</v>
          </cell>
          <cell r="G208" t="str">
            <v>TÉCNICO HIDROMETRISTA - DIARISTA DIURNO - 40H</v>
          </cell>
        </row>
        <row r="209">
          <cell r="A209" t="str">
            <v>6332030</v>
          </cell>
          <cell r="B209">
            <v>44</v>
          </cell>
          <cell r="C209">
            <v>63320</v>
          </cell>
          <cell r="D209" t="str">
            <v>TELEDIGIFONISTA - 30H OU 36H</v>
          </cell>
          <cell r="E209">
            <v>30</v>
          </cell>
          <cell r="F209" t="e">
            <v>#N/A</v>
          </cell>
          <cell r="G209" t="str">
            <v>TELEDIGIFONISTA - DIARISTA DIURNO - 30H</v>
          </cell>
        </row>
        <row r="210">
          <cell r="A210" t="str">
            <v>6332036</v>
          </cell>
          <cell r="B210">
            <v>43</v>
          </cell>
          <cell r="C210">
            <v>63320</v>
          </cell>
          <cell r="D210" t="str">
            <v>TELEDIGIFONISTA - 30H OU 36H</v>
          </cell>
          <cell r="E210">
            <v>36</v>
          </cell>
          <cell r="F210" t="e">
            <v>#N/A</v>
          </cell>
          <cell r="G210" t="str">
            <v>TELEDIGIFONISTA - ESCALA DIURNA - 36H</v>
          </cell>
        </row>
        <row r="211">
          <cell r="A211" t="str">
            <v>10669036</v>
          </cell>
          <cell r="B211">
            <v>378</v>
          </cell>
          <cell r="C211">
            <v>106690</v>
          </cell>
          <cell r="D211" t="str">
            <v>TELEDIGIFONISTA - 30H OU 36H, SEM SUBSTITUICAO (EXCLUSIVO PARA SEJUSP)</v>
          </cell>
          <cell r="E211">
            <v>36</v>
          </cell>
          <cell r="F211" t="e">
            <v>#N/A</v>
          </cell>
          <cell r="G211" t="str">
            <v>TELEDIGIFONISTA (EXCLUSIVO SEJUSP) - ESCALA DIURNA - 36H</v>
          </cell>
        </row>
        <row r="212">
          <cell r="A212" t="str">
            <v>10670430</v>
          </cell>
          <cell r="B212">
            <v>379</v>
          </cell>
          <cell r="C212">
            <v>106704</v>
          </cell>
          <cell r="D212" t="str">
            <v>TELEDIGIFONISTA - NOTURNO (0H AS 6H) - 30H, SEM SUBSTITUICAO (EXCLUSIVO PARA SEJUSP)</v>
          </cell>
          <cell r="E212">
            <v>30</v>
          </cell>
          <cell r="F212" t="e">
            <v>#N/A</v>
          </cell>
          <cell r="G212" t="str">
            <v>TELEDIGIFONISTA (EXCLUSIVO SEJUSP) (0H ÀS 6H) - ESCALA NOTURNA - 30H</v>
          </cell>
        </row>
        <row r="213">
          <cell r="A213" t="str">
            <v>10671236</v>
          </cell>
          <cell r="B213">
            <v>380</v>
          </cell>
          <cell r="C213">
            <v>106712</v>
          </cell>
          <cell r="D213" t="str">
            <v>TELEDIGIFONISTA -  NOTURNO (18H AS 0H) - 36H,  SEM SUBSTITUICAO (EXCLUSIVO PARA SEJUSP)</v>
          </cell>
          <cell r="E213">
            <v>36</v>
          </cell>
          <cell r="F213" t="e">
            <v>#N/A</v>
          </cell>
          <cell r="G213" t="str">
            <v>TELEDIGIFONISTA (EXCLUSIVO SEJUSP) (18H ÀS 0H) - ESCALA NOTURNA - 36H</v>
          </cell>
        </row>
        <row r="214">
          <cell r="A214" t="str">
            <v>12017030</v>
          </cell>
          <cell r="B214">
            <v>1360</v>
          </cell>
          <cell r="C214">
            <v>120170</v>
          </cell>
          <cell r="D214" t="str">
            <v>TELEDIGIFONISTA - NOTURNO (22H AS 4H) - 30H, SEM SUBSTITUICAO (EXCLUSIVO PARA SEJUSP)</v>
          </cell>
          <cell r="E214">
            <v>30</v>
          </cell>
          <cell r="F214" t="e">
            <v>#N/A</v>
          </cell>
          <cell r="G214" t="str">
            <v>TELEDIGIFONISTA (EXCLUSIVO SEJUSP) (22H ÀS 4H) - DIARISTA NOTURNO - 30H</v>
          </cell>
        </row>
        <row r="215">
          <cell r="A215" t="str">
            <v>6331230</v>
          </cell>
          <cell r="B215">
            <v>29</v>
          </cell>
          <cell r="C215">
            <v>63312</v>
          </cell>
          <cell r="D215" t="str">
            <v>TELEFONISTA - 30H</v>
          </cell>
          <cell r="E215">
            <v>30</v>
          </cell>
          <cell r="F215" t="e">
            <v>#N/A</v>
          </cell>
          <cell r="G215" t="str">
            <v>TELEFONISTA - DIARISTA DIURNO - 30H</v>
          </cell>
        </row>
        <row r="216">
          <cell r="A216" t="str">
            <v>6429736</v>
          </cell>
          <cell r="B216">
            <v>28</v>
          </cell>
          <cell r="C216">
            <v>64297</v>
          </cell>
          <cell r="D216" t="str">
            <v>TELEFONISTA - 36H</v>
          </cell>
          <cell r="E216">
            <v>36</v>
          </cell>
          <cell r="F216" t="e">
            <v>#N/A</v>
          </cell>
          <cell r="G216" t="str">
            <v>TELEFONISTA - DIARISTA DIURNO - 36H</v>
          </cell>
        </row>
        <row r="217">
          <cell r="A217" t="str">
            <v>14668440</v>
          </cell>
          <cell r="B217">
            <v>1909</v>
          </cell>
          <cell r="C217">
            <v>146684</v>
          </cell>
          <cell r="D217" t="str">
            <v>TRABALHADOR AGRICOLA (PERICULOSIDADE) - 40H OU 44H</v>
          </cell>
          <cell r="E217">
            <v>40</v>
          </cell>
          <cell r="F217" t="e">
            <v>#N/A</v>
          </cell>
          <cell r="G217" t="str">
            <v>TRABALHADOR AGRÍCOLA - (PERIC.) - DIARISTA DIURNO - 40H</v>
          </cell>
        </row>
        <row r="218">
          <cell r="A218" t="str">
            <v>10046344</v>
          </cell>
          <cell r="B218">
            <v>1199</v>
          </cell>
          <cell r="C218">
            <v>100463</v>
          </cell>
          <cell r="D218" t="str">
            <v>TRABALHADOR AGRICOLA  - 40H OU 44H</v>
          </cell>
          <cell r="E218">
            <v>44</v>
          </cell>
          <cell r="F218" t="e">
            <v>#N/A</v>
          </cell>
          <cell r="G218" t="str">
            <v>TRABALHADOR AGRÍCOLA - DIARISTA DIURNO - 44H</v>
          </cell>
        </row>
        <row r="219">
          <cell r="A219" t="str">
            <v>10046340</v>
          </cell>
          <cell r="B219">
            <v>1910</v>
          </cell>
          <cell r="C219">
            <v>100463</v>
          </cell>
          <cell r="D219" t="str">
            <v>TRABALHADOR AGRICOLA  - 40H OU 44H</v>
          </cell>
          <cell r="E219">
            <v>40</v>
          </cell>
          <cell r="F219" t="e">
            <v>#N/A</v>
          </cell>
          <cell r="G219" t="str">
            <v>TRABALHADOR AGRÍCOLA - DIARISTA DIURNO - 40H</v>
          </cell>
        </row>
        <row r="220">
          <cell r="A220" t="str">
            <v>6546340</v>
          </cell>
          <cell r="B220">
            <v>322</v>
          </cell>
          <cell r="C220">
            <v>65463</v>
          </cell>
          <cell r="D220" t="str">
            <v>TRABALHADOR DA IMPRESSAO GRAFICA - 30H, 36H, 40H OU 44H</v>
          </cell>
          <cell r="E220">
            <v>40</v>
          </cell>
          <cell r="F220" t="e">
            <v>#N/A</v>
          </cell>
          <cell r="G220" t="str">
            <v>TRABALHADOR DA IMPRESSÃO GRÁFICA - DIARISTA DIURNO - 40H</v>
          </cell>
        </row>
        <row r="221">
          <cell r="A221" t="str">
            <v>10627544</v>
          </cell>
          <cell r="B221">
            <v>126</v>
          </cell>
          <cell r="C221">
            <v>106275</v>
          </cell>
          <cell r="D221" t="str">
            <v>TRABALHADOR DA MANUTENÇÃO PREDIAL E INSTALAÇÕES - 12X36 DIURNO - 44H</v>
          </cell>
          <cell r="E221">
            <v>44</v>
          </cell>
          <cell r="F221" t="e">
            <v>#N/A</v>
          </cell>
          <cell r="G221" t="str">
            <v>TRABALHADOR DA MANUTENÇÃO PREDIAL E INSTALAÇÕES - 12x36 DIURNO - 44H</v>
          </cell>
        </row>
        <row r="222">
          <cell r="A222" t="str">
            <v>10628344</v>
          </cell>
          <cell r="B222">
            <v>129</v>
          </cell>
          <cell r="C222">
            <v>106283</v>
          </cell>
          <cell r="D222" t="str">
            <v>TRABALHADOR DA MANUTENCAO PREDIAL E INSTALACOES - 12X36 DIURNO (PERICULOSIDADE) - 44H</v>
          </cell>
          <cell r="E222">
            <v>44</v>
          </cell>
          <cell r="F222" t="e">
            <v>#N/A</v>
          </cell>
          <cell r="G222" t="str">
            <v>TRABALHADOR DA MANUTENÇÃO PREDIAL E INSTALAÇÕES - (PERIC.) - 12x36 DIURNO - 44H</v>
          </cell>
        </row>
        <row r="223">
          <cell r="A223" t="str">
            <v>10625944</v>
          </cell>
          <cell r="B223">
            <v>131</v>
          </cell>
          <cell r="C223">
            <v>106259</v>
          </cell>
          <cell r="D223" t="str">
            <v>TRABALHADOR DA MANUTENCAO  PREDIAL E  INSTALACOES - 12X36 NOTURNO (PERICULOSIDADE) - 44H</v>
          </cell>
          <cell r="E223">
            <v>44</v>
          </cell>
          <cell r="F223" t="e">
            <v>#N/A</v>
          </cell>
          <cell r="G223" t="str">
            <v>TRABALHADOR DA MANUTENÇÃO PREDIAL E INSTALAÇÕES - (PERIC.) - 12x36 NOTURNO - 44H</v>
          </cell>
        </row>
        <row r="224">
          <cell r="A224" t="str">
            <v>10629144</v>
          </cell>
          <cell r="B224">
            <v>124</v>
          </cell>
          <cell r="C224">
            <v>106291</v>
          </cell>
          <cell r="D224" t="str">
            <v>TRABALHADOR DA MANUTENCAO PREDIAL E INSTALACOES - 40H OU 44H</v>
          </cell>
          <cell r="E224">
            <v>44</v>
          </cell>
          <cell r="F224" t="e">
            <v>#N/A</v>
          </cell>
          <cell r="G224" t="str">
            <v>TRABALHADOR DA MANUTENÇÃO PREDIAL E INSTALAÇÕES - DIARISTA DIURNO - 44H</v>
          </cell>
        </row>
        <row r="225">
          <cell r="A225" t="str">
            <v>10629140</v>
          </cell>
          <cell r="B225">
            <v>125</v>
          </cell>
          <cell r="C225">
            <v>106291</v>
          </cell>
          <cell r="D225" t="str">
            <v>TRABALHADOR DA MANUTENCAO PREDIAL E INSTALACOES - 40H OU 44H</v>
          </cell>
          <cell r="E225">
            <v>40</v>
          </cell>
          <cell r="F225" t="e">
            <v>#N/A</v>
          </cell>
          <cell r="G225" t="str">
            <v>TRABALHADOR DA MANUTENÇÃO PREDIAL E INSTALAÇÕES - DIARISTA DIURNO - 40H</v>
          </cell>
        </row>
        <row r="226">
          <cell r="A226" t="str">
            <v>10626740</v>
          </cell>
          <cell r="B226">
            <v>128</v>
          </cell>
          <cell r="C226">
            <v>106267</v>
          </cell>
          <cell r="D226" t="str">
            <v>TRABALHADOR DA MANUTENCAO  PREDIAL E INSTALACOES (PERICULOSIDADE) - 40H OU 44H</v>
          </cell>
          <cell r="E226">
            <v>40</v>
          </cell>
          <cell r="F226" t="e">
            <v>#N/A</v>
          </cell>
          <cell r="G226" t="str">
            <v>TRABALHADOR DA MANUTENÇÃO PREDIAL E INSTALAÇÕES - (PERIC.) - DIARISTA DIURNO - 40H</v>
          </cell>
        </row>
        <row r="227">
          <cell r="A227" t="str">
            <v>10626744</v>
          </cell>
          <cell r="B227">
            <v>127</v>
          </cell>
          <cell r="C227">
            <v>106267</v>
          </cell>
          <cell r="D227" t="str">
            <v>TRABALHADOR DA MANUTENCAO  PREDIAL E INSTALACOES (PERICULOSIDADE) - 40H OU 44H</v>
          </cell>
          <cell r="E227">
            <v>44</v>
          </cell>
          <cell r="F227" t="e">
            <v>#N/A</v>
          </cell>
          <cell r="G227" t="str">
            <v>TRABALHADOR DA MANUTENÇÃO PREDIAL E INSTALAÇÕES - (PERIC.) - DIARISTA DIURNO - 44H</v>
          </cell>
        </row>
        <row r="228">
          <cell r="A228" t="str">
            <v>10570844</v>
          </cell>
          <cell r="B228">
            <v>1201</v>
          </cell>
          <cell r="C228">
            <v>105708</v>
          </cell>
          <cell r="D228" t="str">
            <v>TRATADOR DE ANIMAIS - 12x36 - DIURNO - 44 H</v>
          </cell>
          <cell r="E228">
            <v>44</v>
          </cell>
          <cell r="F228" t="e">
            <v>#N/A</v>
          </cell>
          <cell r="G228" t="str">
            <v>TRATADOR DE ANIMAIS - 12x36 DIURNO - 44H</v>
          </cell>
        </row>
        <row r="229">
          <cell r="A229" t="str">
            <v>13364740</v>
          </cell>
          <cell r="B229">
            <v>1911</v>
          </cell>
          <cell r="C229">
            <v>133647</v>
          </cell>
          <cell r="D229" t="str">
            <v>TRATADOR DE ANIMAIS - DIARISTA DIURNO - 40 OU 44H</v>
          </cell>
          <cell r="E229">
            <v>40</v>
          </cell>
          <cell r="F229" t="e">
            <v>#N/A</v>
          </cell>
          <cell r="G229" t="str">
            <v>TRATADOR DE ANIMAIS - DIARISTA DIURNO - 40H</v>
          </cell>
        </row>
        <row r="230">
          <cell r="A230" t="str">
            <v>13364744</v>
          </cell>
          <cell r="B230">
            <v>1533</v>
          </cell>
          <cell r="C230">
            <v>133647</v>
          </cell>
          <cell r="D230" t="str">
            <v>TRATADOR DE ANIMAIS - DIARISTA DIURNO - 40 OU 44H</v>
          </cell>
          <cell r="E230">
            <v>44</v>
          </cell>
          <cell r="F230" t="e">
            <v>#N/A</v>
          </cell>
          <cell r="G230" t="str">
            <v>TRATADOR DE ANIMAIS - DIARISTA DIURNO - 44H</v>
          </cell>
        </row>
        <row r="231">
          <cell r="A231" t="str">
            <v>6353344</v>
          </cell>
          <cell r="B231">
            <v>181</v>
          </cell>
          <cell r="C231">
            <v>63533</v>
          </cell>
          <cell r="D231" t="str">
            <v>VIGIA DE PARQUE - 12X36 DIURNO (PERICULOSIDADE) - 44H</v>
          </cell>
          <cell r="E231">
            <v>44</v>
          </cell>
          <cell r="F231" t="e">
            <v>#N/A</v>
          </cell>
          <cell r="G231" t="str">
            <v>VIGIA DE PARQUE - (PERIC.) - 12x36 DIURNO - 44H</v>
          </cell>
        </row>
        <row r="232">
          <cell r="A232" t="str">
            <v>6433544</v>
          </cell>
          <cell r="B232">
            <v>182</v>
          </cell>
          <cell r="C232">
            <v>64335</v>
          </cell>
          <cell r="D232" t="str">
            <v>VIGIA DE PARQUE - 12X36 NOTURNO (PERICULOSIDADE) - 44H</v>
          </cell>
          <cell r="E232">
            <v>44</v>
          </cell>
          <cell r="F232" t="e">
            <v>#N/A</v>
          </cell>
          <cell r="G232" t="str">
            <v>VIGIA DE PARQUE - (PERIC.) - 12x36 NOTURNO - 44H</v>
          </cell>
        </row>
        <row r="233">
          <cell r="A233" t="str">
            <v>6434344</v>
          </cell>
          <cell r="B233">
            <v>180</v>
          </cell>
          <cell r="C233">
            <v>64343</v>
          </cell>
          <cell r="D233" t="str">
            <v>VIGIA DE PARQUE (PERICULOSIDADE) - 44H</v>
          </cell>
          <cell r="E233">
            <v>44</v>
          </cell>
          <cell r="F233" t="e">
            <v>#N/A</v>
          </cell>
          <cell r="G233" t="str">
            <v>VIGIA DE PARQUE - (PERIC.) - DIARISTA DIURNO - 44H</v>
          </cell>
        </row>
      </sheetData>
      <sheetData sheetId="2"/>
      <sheetData sheetId="3">
        <row r="6">
          <cell r="A6">
            <v>1698</v>
          </cell>
          <cell r="B6" t="str">
            <v>AGENTE DE CAMPO</v>
          </cell>
          <cell r="C6">
            <v>40</v>
          </cell>
          <cell r="D6">
            <v>200</v>
          </cell>
          <cell r="E6" t="str">
            <v>DIARISTA DIURNO</v>
          </cell>
          <cell r="F6" t="str">
            <v>AGENTE DE CAMPO - (PERIC.) - DIARISTA DIURNO - 40H</v>
          </cell>
          <cell r="G6">
            <v>200</v>
          </cell>
          <cell r="I6" t="str">
            <v>x</v>
          </cell>
          <cell r="L6">
            <v>8</v>
          </cell>
          <cell r="M6">
            <v>22</v>
          </cell>
          <cell r="N6">
            <v>24</v>
          </cell>
          <cell r="O6">
            <v>6</v>
          </cell>
          <cell r="R6">
            <v>2122.7947331250002</v>
          </cell>
          <cell r="S6">
            <v>636.83841993750002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2759.6331530625002</v>
          </cell>
          <cell r="AA6">
            <v>0.81799999999999995</v>
          </cell>
          <cell r="AB6">
            <v>2257.3799192051251</v>
          </cell>
          <cell r="AC6">
            <v>30.014545454545452</v>
          </cell>
          <cell r="AD6">
            <v>23.863030303030303</v>
          </cell>
          <cell r="AE6">
            <v>53.877575757575755</v>
          </cell>
          <cell r="AF6">
            <v>4.0757658876000002</v>
          </cell>
          <cell r="AG6">
            <v>147.63636363636363</v>
          </cell>
          <cell r="AH6">
            <v>0</v>
          </cell>
          <cell r="AI6">
            <v>0</v>
          </cell>
          <cell r="AJ6">
            <v>7.0000000000000007E-2</v>
          </cell>
          <cell r="AK6">
            <v>401.83659442844163</v>
          </cell>
          <cell r="AL6">
            <v>5624.43</v>
          </cell>
          <cell r="AM6">
            <v>181.81818181818184</v>
          </cell>
          <cell r="AN6">
            <v>517.91999999999996</v>
          </cell>
        </row>
        <row r="7">
          <cell r="A7">
            <v>1699</v>
          </cell>
          <cell r="B7" t="str">
            <v>AGENTE DE CAMPO</v>
          </cell>
          <cell r="C7">
            <v>40</v>
          </cell>
          <cell r="D7">
            <v>200</v>
          </cell>
          <cell r="E7" t="str">
            <v>DIARISTA DIURNO</v>
          </cell>
          <cell r="F7" t="str">
            <v>AGENTE DE CAMPO - DIARISTA DIURNO - 40H</v>
          </cell>
          <cell r="G7">
            <v>200</v>
          </cell>
          <cell r="L7">
            <v>8</v>
          </cell>
          <cell r="M7">
            <v>22</v>
          </cell>
          <cell r="N7">
            <v>24</v>
          </cell>
          <cell r="O7">
            <v>6</v>
          </cell>
          <cell r="R7">
            <v>2122.7947331250002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2122.7947331250002</v>
          </cell>
          <cell r="AA7">
            <v>0.81799999999999995</v>
          </cell>
          <cell r="AB7">
            <v>1736.4460916962501</v>
          </cell>
          <cell r="AC7">
            <v>30.014545454545452</v>
          </cell>
          <cell r="AD7">
            <v>23.863030303030303</v>
          </cell>
          <cell r="AE7">
            <v>53.877575757575755</v>
          </cell>
          <cell r="AF7">
            <v>4.0757658876000002</v>
          </cell>
          <cell r="AG7">
            <v>147.63636363636363</v>
          </cell>
          <cell r="AH7">
            <v>0</v>
          </cell>
          <cell r="AI7">
            <v>0</v>
          </cell>
          <cell r="AJ7">
            <v>7.0000000000000007E-2</v>
          </cell>
          <cell r="AK7">
            <v>320.79253710719536</v>
          </cell>
          <cell r="AL7">
            <v>4385.62</v>
          </cell>
          <cell r="AM7">
            <v>181.81818181818184</v>
          </cell>
          <cell r="AN7">
            <v>517.91999999999996</v>
          </cell>
        </row>
        <row r="8">
          <cell r="A8">
            <v>392</v>
          </cell>
          <cell r="B8" t="str">
            <v>AGENTE DE SERVIÇO DE PARQUE HABILITADO</v>
          </cell>
          <cell r="C8">
            <v>44</v>
          </cell>
          <cell r="D8">
            <v>210</v>
          </cell>
          <cell r="E8" t="str">
            <v>12x36 DIURNO</v>
          </cell>
          <cell r="F8" t="str">
            <v>AGENTE DE SERVIÇO DE PARQUE HABILITADO - (PERIC.) - 12x36 DIURNO - 44H</v>
          </cell>
          <cell r="G8">
            <v>210</v>
          </cell>
          <cell r="I8" t="str">
            <v>x</v>
          </cell>
          <cell r="L8">
            <v>12</v>
          </cell>
          <cell r="M8">
            <v>15.22</v>
          </cell>
          <cell r="N8">
            <v>24</v>
          </cell>
          <cell r="O8">
            <v>6</v>
          </cell>
          <cell r="R8">
            <v>2150.6883989049652</v>
          </cell>
          <cell r="S8">
            <v>645.20651967148956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3.883187386911743</v>
          </cell>
          <cell r="Z8">
            <v>2799.7781059633667</v>
          </cell>
          <cell r="AA8">
            <v>0.81799999999999995</v>
          </cell>
          <cell r="AB8">
            <v>2290.218490678034</v>
          </cell>
          <cell r="AC8">
            <v>30.014545454545452</v>
          </cell>
          <cell r="AD8">
            <v>282.32043012772351</v>
          </cell>
          <cell r="AE8">
            <v>312.33497558226895</v>
          </cell>
          <cell r="AF8">
            <v>4.1293217258975332</v>
          </cell>
          <cell r="AG8">
            <v>281.74150413223134</v>
          </cell>
          <cell r="AH8">
            <v>0</v>
          </cell>
          <cell r="AI8">
            <v>0</v>
          </cell>
          <cell r="AJ8">
            <v>7.0000000000000007E-2</v>
          </cell>
          <cell r="AK8">
            <v>436.62898604754412</v>
          </cell>
          <cell r="AL8">
            <v>6124.83</v>
          </cell>
          <cell r="AM8">
            <v>200.00000000000003</v>
          </cell>
          <cell r="AN8">
            <v>549.35</v>
          </cell>
        </row>
        <row r="9">
          <cell r="A9">
            <v>390</v>
          </cell>
          <cell r="B9" t="str">
            <v>AGENTE DE SERVIÇO DE PARQUE HABILITADO</v>
          </cell>
          <cell r="C9">
            <v>44</v>
          </cell>
          <cell r="D9">
            <v>210</v>
          </cell>
          <cell r="E9" t="str">
            <v>12x36 DIURNO</v>
          </cell>
          <cell r="F9" t="str">
            <v>AGENTE DE SERVIÇO DE PARQUE HABILITADO - 12x36 DIURNO - 44H</v>
          </cell>
          <cell r="G9">
            <v>210</v>
          </cell>
          <cell r="L9">
            <v>12</v>
          </cell>
          <cell r="M9">
            <v>15.22</v>
          </cell>
          <cell r="N9">
            <v>24</v>
          </cell>
          <cell r="O9">
            <v>6</v>
          </cell>
          <cell r="R9">
            <v>2150.6883989049652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2.9870672207013409</v>
          </cell>
          <cell r="Z9">
            <v>2153.6754661256664</v>
          </cell>
          <cell r="AA9">
            <v>0.81799999999999995</v>
          </cell>
          <cell r="AB9">
            <v>1761.7065312907951</v>
          </cell>
          <cell r="AC9">
            <v>30.014545454545452</v>
          </cell>
          <cell r="AD9">
            <v>282.32043012772351</v>
          </cell>
          <cell r="AE9">
            <v>312.33497558226895</v>
          </cell>
          <cell r="AF9">
            <v>4.1293217258975332</v>
          </cell>
          <cell r="AG9">
            <v>281.74150413223134</v>
          </cell>
          <cell r="AH9">
            <v>0</v>
          </cell>
          <cell r="AI9">
            <v>0</v>
          </cell>
          <cell r="AJ9">
            <v>7.0000000000000007E-2</v>
          </cell>
          <cell r="AK9">
            <v>354.40596410179842</v>
          </cell>
          <cell r="AL9">
            <v>4867.99</v>
          </cell>
          <cell r="AM9">
            <v>200.00000000000003</v>
          </cell>
          <cell r="AN9">
            <v>549.35</v>
          </cell>
        </row>
        <row r="10">
          <cell r="A10">
            <v>393</v>
          </cell>
          <cell r="B10" t="str">
            <v>AGENTE DE SERVIÇO DE PARQUE HABILITADO</v>
          </cell>
          <cell r="C10">
            <v>44</v>
          </cell>
          <cell r="D10">
            <v>210</v>
          </cell>
          <cell r="E10" t="str">
            <v>12x36 NOTURNO</v>
          </cell>
          <cell r="F10" t="str">
            <v>AGENTE DE SERVIÇO DE PARQUE HABILITADO - (PERIC.) - 12x36 NOTURNO - 44H</v>
          </cell>
          <cell r="G10">
            <v>210</v>
          </cell>
          <cell r="I10" t="str">
            <v>X</v>
          </cell>
          <cell r="L10">
            <v>12</v>
          </cell>
          <cell r="M10">
            <v>15.22</v>
          </cell>
          <cell r="N10">
            <v>24</v>
          </cell>
          <cell r="O10">
            <v>6</v>
          </cell>
          <cell r="P10">
            <v>7</v>
          </cell>
          <cell r="Q10">
            <v>2</v>
          </cell>
          <cell r="R10">
            <v>2150.6883989049652</v>
          </cell>
          <cell r="S10">
            <v>645.20651967148956</v>
          </cell>
          <cell r="T10">
            <v>651.33016508301068</v>
          </cell>
          <cell r="U10">
            <v>14.217537529656875</v>
          </cell>
          <cell r="V10">
            <v>53.315749741483565</v>
          </cell>
          <cell r="W10">
            <v>0</v>
          </cell>
          <cell r="X10">
            <v>0</v>
          </cell>
          <cell r="Y10">
            <v>3.883187386911743</v>
          </cell>
          <cell r="Z10">
            <v>3518.641558317518</v>
          </cell>
          <cell r="AA10">
            <v>0.81799999999999995</v>
          </cell>
          <cell r="AB10">
            <v>2878.2487947037298</v>
          </cell>
          <cell r="AC10">
            <v>30.014545454545452</v>
          </cell>
          <cell r="AD10">
            <v>282.32043012772351</v>
          </cell>
          <cell r="AE10">
            <v>312.33497558226895</v>
          </cell>
          <cell r="AF10">
            <v>4.1293217258975332</v>
          </cell>
          <cell r="AG10">
            <v>281.74150413223134</v>
          </cell>
          <cell r="AH10">
            <v>0</v>
          </cell>
          <cell r="AI10">
            <v>0</v>
          </cell>
          <cell r="AJ10">
            <v>7.0000000000000007E-2</v>
          </cell>
          <cell r="AK10">
            <v>528.1115489941335</v>
          </cell>
          <cell r="AL10">
            <v>7523.2</v>
          </cell>
          <cell r="AM10">
            <v>200.00000000000003</v>
          </cell>
          <cell r="AN10">
            <v>549.35</v>
          </cell>
        </row>
        <row r="11">
          <cell r="A11">
            <v>389</v>
          </cell>
          <cell r="B11" t="str">
            <v>AGENTE DE SERVIÇO DE PARQUE HABILITADO</v>
          </cell>
          <cell r="C11">
            <v>44</v>
          </cell>
          <cell r="D11">
            <v>220</v>
          </cell>
          <cell r="E11" t="str">
            <v>DIARISTA DIURNO</v>
          </cell>
          <cell r="F11" t="str">
            <v>AGENTE DE SERVIÇO DE PARQUE HABILITADO - (PERIC.) - DIARISTA DIURNO - 44H</v>
          </cell>
          <cell r="G11">
            <v>220</v>
          </cell>
          <cell r="I11" t="str">
            <v>X</v>
          </cell>
          <cell r="L11">
            <v>8</v>
          </cell>
          <cell r="M11">
            <v>22</v>
          </cell>
          <cell r="N11">
            <v>24</v>
          </cell>
          <cell r="O11">
            <v>6</v>
          </cell>
          <cell r="R11">
            <v>2150.6883989049652</v>
          </cell>
          <cell r="S11">
            <v>645.20651967148956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2795.894918576455</v>
          </cell>
          <cell r="AA11">
            <v>0.81799999999999995</v>
          </cell>
          <cell r="AB11">
            <v>2287.0420433955401</v>
          </cell>
          <cell r="AC11">
            <v>30.014545454545452</v>
          </cell>
          <cell r="AD11">
            <v>282.32043012772351</v>
          </cell>
          <cell r="AE11">
            <v>312.33497558226895</v>
          </cell>
          <cell r="AF11">
            <v>4.1293217258975332</v>
          </cell>
          <cell r="AG11">
            <v>281.74150413223134</v>
          </cell>
          <cell r="AH11">
            <v>0</v>
          </cell>
          <cell r="AI11">
            <v>0</v>
          </cell>
          <cell r="AJ11">
            <v>7.0000000000000007E-2</v>
          </cell>
          <cell r="AK11">
            <v>436.13481162068575</v>
          </cell>
          <cell r="AL11">
            <v>6117.27</v>
          </cell>
          <cell r="AM11">
            <v>200.00000000000003</v>
          </cell>
          <cell r="AN11">
            <v>549.35</v>
          </cell>
        </row>
        <row r="12">
          <cell r="A12">
            <v>388</v>
          </cell>
          <cell r="B12" t="str">
            <v>AGENTE DE SERVIÇO DE PARQUE HABILITADO</v>
          </cell>
          <cell r="C12">
            <v>44</v>
          </cell>
          <cell r="D12">
            <v>220</v>
          </cell>
          <cell r="E12" t="str">
            <v>DIARISTA DIURNO</v>
          </cell>
          <cell r="F12" t="str">
            <v>AGENTE DE SERVIÇO DE PARQUE HABILITADO - DIARISTA DIURNO - 44H</v>
          </cell>
          <cell r="G12">
            <v>220</v>
          </cell>
          <cell r="L12">
            <v>8</v>
          </cell>
          <cell r="M12">
            <v>22</v>
          </cell>
          <cell r="N12">
            <v>24</v>
          </cell>
          <cell r="O12">
            <v>6</v>
          </cell>
          <cell r="R12">
            <v>2150.6883989049652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2150.6883989049652</v>
          </cell>
          <cell r="AA12">
            <v>0.81799999999999995</v>
          </cell>
          <cell r="AB12">
            <v>1759.2631103042613</v>
          </cell>
          <cell r="AC12">
            <v>30.014545454545452</v>
          </cell>
          <cell r="AD12">
            <v>282.32043012772351</v>
          </cell>
          <cell r="AE12">
            <v>312.33497558226895</v>
          </cell>
          <cell r="AF12">
            <v>4.1293217258975332</v>
          </cell>
          <cell r="AG12">
            <v>281.74150413223134</v>
          </cell>
          <cell r="AH12">
            <v>0</v>
          </cell>
          <cell r="AI12">
            <v>0</v>
          </cell>
          <cell r="AJ12">
            <v>7.0000000000000007E-2</v>
          </cell>
          <cell r="AK12">
            <v>354.02582992729191</v>
          </cell>
          <cell r="AL12">
            <v>4862.18</v>
          </cell>
          <cell r="AM12">
            <v>200.00000000000003</v>
          </cell>
          <cell r="AN12">
            <v>549.35</v>
          </cell>
        </row>
        <row r="13">
          <cell r="A13">
            <v>409</v>
          </cell>
          <cell r="B13" t="str">
            <v>ANALISTA ESPECIALIZADO EM CIÊNCIAS EXATAS E DA TERRA I</v>
          </cell>
          <cell r="C13">
            <v>44</v>
          </cell>
          <cell r="D13">
            <v>210</v>
          </cell>
          <cell r="E13" t="str">
            <v>12x36 DIURNO</v>
          </cell>
          <cell r="F13" t="str">
            <v>ANALISTA ESPECIALIZADO EM CIÊNCIAS EXATAS E DA TERRA I (EXCLUSIVO SEJUSP) - 12x36 DIURNO - 44H</v>
          </cell>
          <cell r="G13">
            <v>210</v>
          </cell>
          <cell r="H13" t="str">
            <v>(EXCLUSIVO SEJUSP)</v>
          </cell>
          <cell r="L13">
            <v>12</v>
          </cell>
          <cell r="M13">
            <v>15.22</v>
          </cell>
          <cell r="N13">
            <v>24</v>
          </cell>
          <cell r="O13">
            <v>6</v>
          </cell>
          <cell r="R13">
            <v>5698.5267945930245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7.9146205480458676</v>
          </cell>
          <cell r="Z13">
            <v>5706.4414151410701</v>
          </cell>
          <cell r="AA13">
            <v>0.81799999999999995</v>
          </cell>
          <cell r="AB13">
            <v>4667.8690775853947</v>
          </cell>
          <cell r="AC13">
            <v>0</v>
          </cell>
          <cell r="AD13">
            <v>0</v>
          </cell>
          <cell r="AE13">
            <v>0</v>
          </cell>
          <cell r="AF13">
            <v>9.6</v>
          </cell>
          <cell r="AG13">
            <v>42.051344186046478</v>
          </cell>
          <cell r="AH13">
            <v>0</v>
          </cell>
          <cell r="AI13">
            <v>0</v>
          </cell>
          <cell r="AJ13">
            <v>7.0000000000000007E-2</v>
          </cell>
          <cell r="AK13">
            <v>767.76047044434097</v>
          </cell>
          <cell r="AL13">
            <v>11193.72</v>
          </cell>
          <cell r="AM13">
            <v>200.00000000000003</v>
          </cell>
          <cell r="AN13">
            <v>542.04</v>
          </cell>
        </row>
        <row r="14">
          <cell r="A14">
            <v>410</v>
          </cell>
          <cell r="B14" t="str">
            <v>ANALISTA ESPECIALIZADO EM CIÊNCIAS EXATAS E DA TERRA I</v>
          </cell>
          <cell r="C14">
            <v>44</v>
          </cell>
          <cell r="D14">
            <v>210</v>
          </cell>
          <cell r="E14" t="str">
            <v>12x36 NOTURNO</v>
          </cell>
          <cell r="F14" t="str">
            <v>ANALISTA ESPECIALIZADO EM CIÊNCIAS EXATAS E DA TERRA I (EXCLUSIVO SEJUSP) - 12x36 NOTURNO - 44H</v>
          </cell>
          <cell r="G14">
            <v>210</v>
          </cell>
          <cell r="H14" t="str">
            <v>(EXCLUSIVO SEJUSP)</v>
          </cell>
          <cell r="L14">
            <v>12</v>
          </cell>
          <cell r="M14">
            <v>15.22</v>
          </cell>
          <cell r="N14">
            <v>24</v>
          </cell>
          <cell r="O14">
            <v>6</v>
          </cell>
          <cell r="P14">
            <v>7</v>
          </cell>
          <cell r="Q14">
            <v>2</v>
          </cell>
          <cell r="R14">
            <v>5698.5267945930245</v>
          </cell>
          <cell r="S14">
            <v>0</v>
          </cell>
          <cell r="T14">
            <v>1327.5257139284856</v>
          </cell>
          <cell r="U14">
            <v>28.977848211524666</v>
          </cell>
          <cell r="V14">
            <v>108.66689819313825</v>
          </cell>
          <cell r="W14">
            <v>0</v>
          </cell>
          <cell r="X14">
            <v>0</v>
          </cell>
          <cell r="Y14">
            <v>7.9146205480458676</v>
          </cell>
          <cell r="Z14">
            <v>7171.6118754742183</v>
          </cell>
          <cell r="AA14">
            <v>0.81799999999999995</v>
          </cell>
          <cell r="AB14">
            <v>5866.3785141379103</v>
          </cell>
          <cell r="AC14">
            <v>0</v>
          </cell>
          <cell r="AD14">
            <v>0</v>
          </cell>
          <cell r="AE14">
            <v>0</v>
          </cell>
          <cell r="AF14">
            <v>9.6</v>
          </cell>
          <cell r="AG14">
            <v>42.051344186046478</v>
          </cell>
          <cell r="AH14">
            <v>0</v>
          </cell>
          <cell r="AI14">
            <v>0</v>
          </cell>
          <cell r="AJ14">
            <v>7.0000000000000007E-2</v>
          </cell>
          <cell r="AK14">
            <v>954.21806322633745</v>
          </cell>
          <cell r="AL14">
            <v>14043.85</v>
          </cell>
          <cell r="AM14">
            <v>200.00000000000003</v>
          </cell>
          <cell r="AN14">
            <v>542.04</v>
          </cell>
        </row>
        <row r="15">
          <cell r="A15">
            <v>346</v>
          </cell>
          <cell r="B15" t="str">
            <v>ANALISTA ESPECIALIZADO EM CIÊNCIAS EXATAS E DA TERRA I</v>
          </cell>
          <cell r="C15">
            <v>40</v>
          </cell>
          <cell r="D15">
            <v>200</v>
          </cell>
          <cell r="E15" t="str">
            <v>DIARISTA DIURNO</v>
          </cell>
          <cell r="F15" t="str">
            <v>ANALISTA ESPECIALIZADO EM CIÊNCIAS EXATAS E DA TERRA I - DIARISTA DIURNO - 40H</v>
          </cell>
          <cell r="G15">
            <v>200</v>
          </cell>
          <cell r="L15">
            <v>8</v>
          </cell>
          <cell r="M15">
            <v>22</v>
          </cell>
          <cell r="N15">
            <v>24</v>
          </cell>
          <cell r="O15">
            <v>6</v>
          </cell>
          <cell r="R15">
            <v>5180.4789041754766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5180.4789041754766</v>
          </cell>
          <cell r="AA15">
            <v>0.81799999999999995</v>
          </cell>
          <cell r="AB15">
            <v>4237.6317436155396</v>
          </cell>
          <cell r="AC15">
            <v>0</v>
          </cell>
          <cell r="AD15">
            <v>0</v>
          </cell>
          <cell r="AE15">
            <v>0</v>
          </cell>
          <cell r="AF15">
            <v>9.6</v>
          </cell>
          <cell r="AG15">
            <v>51.755367864693412</v>
          </cell>
          <cell r="AH15">
            <v>0</v>
          </cell>
          <cell r="AI15">
            <v>0</v>
          </cell>
          <cell r="AJ15">
            <v>7.0000000000000007E-2</v>
          </cell>
          <cell r="AK15">
            <v>701.50576295636483</v>
          </cell>
          <cell r="AL15">
            <v>10180.969999999999</v>
          </cell>
          <cell r="AM15">
            <v>181.81818181818184</v>
          </cell>
          <cell r="AN15">
            <v>542.04</v>
          </cell>
        </row>
        <row r="16">
          <cell r="A16">
            <v>347</v>
          </cell>
          <cell r="B16" t="str">
            <v>ANALISTA ESPECIALIZADO EM CIÊNCIAS EXATAS E DA TERRA I</v>
          </cell>
          <cell r="C16">
            <v>44</v>
          </cell>
          <cell r="D16">
            <v>220</v>
          </cell>
          <cell r="E16" t="str">
            <v>DIARISTA DIURNO</v>
          </cell>
          <cell r="F16" t="str">
            <v>ANALISTA ESPECIALIZADO EM CIÊNCIAS EXATAS E DA TERRA I - DIARISTA DIURNO - 44H</v>
          </cell>
          <cell r="G16">
            <v>220</v>
          </cell>
          <cell r="L16">
            <v>8</v>
          </cell>
          <cell r="M16">
            <v>22</v>
          </cell>
          <cell r="N16">
            <v>24</v>
          </cell>
          <cell r="O16">
            <v>6</v>
          </cell>
          <cell r="R16">
            <v>5698.5267945930245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5698.5267945930245</v>
          </cell>
          <cell r="AA16">
            <v>0.81799999999999995</v>
          </cell>
          <cell r="AB16">
            <v>4661.3949179770934</v>
          </cell>
          <cell r="AC16">
            <v>0</v>
          </cell>
          <cell r="AD16">
            <v>0</v>
          </cell>
          <cell r="AE16">
            <v>0</v>
          </cell>
          <cell r="AF16">
            <v>9.6</v>
          </cell>
          <cell r="AG16">
            <v>42.051344186046478</v>
          </cell>
          <cell r="AH16">
            <v>0</v>
          </cell>
          <cell r="AI16">
            <v>0</v>
          </cell>
          <cell r="AJ16">
            <v>7.0000000000000007E-2</v>
          </cell>
          <cell r="AK16">
            <v>766.75325583339668</v>
          </cell>
          <cell r="AL16">
            <v>11178.32</v>
          </cell>
          <cell r="AM16">
            <v>200.00000000000003</v>
          </cell>
          <cell r="AN16">
            <v>542.04</v>
          </cell>
        </row>
        <row r="17">
          <cell r="A17">
            <v>1359</v>
          </cell>
          <cell r="B17" t="str">
            <v>ANALISTA ESPECIALIZADO EM CIÊNCIAS HUMANAS</v>
          </cell>
          <cell r="C17">
            <v>44</v>
          </cell>
          <cell r="D17">
            <v>210</v>
          </cell>
          <cell r="E17" t="str">
            <v>12x36 NOTURNO</v>
          </cell>
          <cell r="F17" t="str">
            <v>ANALISTA ESPECIALIZADO EM CIÊNCIAS HUMANAS - 12x36 NOTURNO - 44H</v>
          </cell>
          <cell r="G17">
            <v>210</v>
          </cell>
          <cell r="L17">
            <v>12</v>
          </cell>
          <cell r="M17">
            <v>15.22</v>
          </cell>
          <cell r="N17">
            <v>24</v>
          </cell>
          <cell r="O17">
            <v>6</v>
          </cell>
          <cell r="P17">
            <v>7</v>
          </cell>
          <cell r="Q17">
            <v>2</v>
          </cell>
          <cell r="R17">
            <v>4578.4021811284138</v>
          </cell>
          <cell r="S17">
            <v>0</v>
          </cell>
          <cell r="T17">
            <v>1066.5820909925728</v>
          </cell>
          <cell r="U17">
            <v>23.281849544330829</v>
          </cell>
          <cell r="V17">
            <v>87.306909599159852</v>
          </cell>
          <cell r="W17">
            <v>0</v>
          </cell>
          <cell r="X17">
            <v>0</v>
          </cell>
          <cell r="Y17">
            <v>6.3588919182339083</v>
          </cell>
          <cell r="Z17">
            <v>5761.9319231827103</v>
          </cell>
          <cell r="AA17">
            <v>0.81799999999999995</v>
          </cell>
          <cell r="AB17">
            <v>4713.2603131634569</v>
          </cell>
          <cell r="AC17">
            <v>0</v>
          </cell>
          <cell r="AD17">
            <v>0</v>
          </cell>
          <cell r="AE17">
            <v>0</v>
          </cell>
          <cell r="AF17">
            <v>8.7905321877665532</v>
          </cell>
          <cell r="AG17">
            <v>85.980634920634856</v>
          </cell>
          <cell r="AH17">
            <v>0</v>
          </cell>
          <cell r="AI17">
            <v>0</v>
          </cell>
          <cell r="AJ17">
            <v>7.0000000000000007E-2</v>
          </cell>
          <cell r="AK17">
            <v>778.11733824181999</v>
          </cell>
          <cell r="AL17">
            <v>11348.08</v>
          </cell>
          <cell r="AM17">
            <v>200.00000000000003</v>
          </cell>
          <cell r="AN17">
            <v>545.99</v>
          </cell>
        </row>
        <row r="18">
          <cell r="A18">
            <v>352</v>
          </cell>
          <cell r="B18" t="str">
            <v>ANALISTA ESPECIALIZADO EM CIÊNCIAS HUMANAS</v>
          </cell>
          <cell r="C18">
            <v>30</v>
          </cell>
          <cell r="D18">
            <v>150</v>
          </cell>
          <cell r="E18" t="str">
            <v>DIARISTA DIURNO</v>
          </cell>
          <cell r="F18" t="str">
            <v>ANALISTA ESPECIALIZADO EM CIÊNCIAS HUMANAS - DIARISTA DIURNO - 30H</v>
          </cell>
          <cell r="G18">
            <v>150</v>
          </cell>
          <cell r="L18">
            <v>6</v>
          </cell>
          <cell r="M18">
            <v>22</v>
          </cell>
          <cell r="N18">
            <v>24</v>
          </cell>
          <cell r="O18">
            <v>6</v>
          </cell>
          <cell r="R18">
            <v>3121.637850769373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3121.637850769373</v>
          </cell>
          <cell r="AA18">
            <v>0.81799999999999995</v>
          </cell>
          <cell r="AB18">
            <v>2553.4997619293472</v>
          </cell>
          <cell r="AC18">
            <v>0</v>
          </cell>
          <cell r="AD18">
            <v>0</v>
          </cell>
          <cell r="AE18">
            <v>0</v>
          </cell>
          <cell r="AF18">
            <v>5.9935446734771958</v>
          </cell>
          <cell r="AG18">
            <v>122.12538239538233</v>
          </cell>
          <cell r="AH18">
            <v>0</v>
          </cell>
          <cell r="AI18">
            <v>0</v>
          </cell>
          <cell r="AJ18">
            <v>7.0000000000000007E-2</v>
          </cell>
          <cell r="AK18">
            <v>444.44785778373063</v>
          </cell>
          <cell r="AL18">
            <v>6247.7</v>
          </cell>
          <cell r="AM18">
            <v>136.36363636363637</v>
          </cell>
          <cell r="AN18">
            <v>545.99</v>
          </cell>
        </row>
        <row r="19">
          <cell r="A19">
            <v>354</v>
          </cell>
          <cell r="B19" t="str">
            <v>ANALISTA ESPECIALIZADO EM CIÊNCIAS HUMANAS</v>
          </cell>
          <cell r="C19">
            <v>40</v>
          </cell>
          <cell r="D19">
            <v>200</v>
          </cell>
          <cell r="E19" t="str">
            <v>DIARISTA DIURNO</v>
          </cell>
          <cell r="F19" t="str">
            <v>ANALISTA ESPECIALIZADO EM CIÊNCIAS HUMANAS - DIARISTA DIURNO - 40H</v>
          </cell>
          <cell r="G19">
            <v>200</v>
          </cell>
          <cell r="L19">
            <v>8</v>
          </cell>
          <cell r="M19">
            <v>22</v>
          </cell>
          <cell r="N19">
            <v>24</v>
          </cell>
          <cell r="O19">
            <v>6</v>
          </cell>
          <cell r="R19">
            <v>4162.1838010258307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4162.1838010258307</v>
          </cell>
          <cell r="AA19">
            <v>0.81799999999999995</v>
          </cell>
          <cell r="AB19">
            <v>3404.6663492391294</v>
          </cell>
          <cell r="AC19">
            <v>0</v>
          </cell>
          <cell r="AD19">
            <v>0</v>
          </cell>
          <cell r="AE19">
            <v>0</v>
          </cell>
          <cell r="AF19">
            <v>7.9913928979695941</v>
          </cell>
          <cell r="AG19">
            <v>96.307705627705559</v>
          </cell>
          <cell r="AH19">
            <v>0</v>
          </cell>
          <cell r="AI19">
            <v>0</v>
          </cell>
          <cell r="AJ19">
            <v>7.0000000000000007E-2</v>
          </cell>
          <cell r="AK19">
            <v>575.20034741534448</v>
          </cell>
          <cell r="AL19">
            <v>8246.34</v>
          </cell>
          <cell r="AM19">
            <v>181.81818181818184</v>
          </cell>
          <cell r="AN19">
            <v>545.99</v>
          </cell>
        </row>
        <row r="20">
          <cell r="A20">
            <v>355</v>
          </cell>
          <cell r="B20" t="str">
            <v>ANALISTA ESPECIALIZADO EM CIÊNCIAS HUMANAS</v>
          </cell>
          <cell r="C20">
            <v>44</v>
          </cell>
          <cell r="D20">
            <v>220</v>
          </cell>
          <cell r="E20" t="str">
            <v>DIARISTA DIURNO</v>
          </cell>
          <cell r="F20" t="str">
            <v>ANALISTA ESPECIALIZADO EM CIÊNCIAS HUMANAS - DIARISTA DIURNO - 44H</v>
          </cell>
          <cell r="G20">
            <v>220</v>
          </cell>
          <cell r="L20">
            <v>8</v>
          </cell>
          <cell r="M20">
            <v>22</v>
          </cell>
          <cell r="N20">
            <v>24</v>
          </cell>
          <cell r="O20">
            <v>6</v>
          </cell>
          <cell r="R20">
            <v>4578.4021811284138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4578.4021811284138</v>
          </cell>
          <cell r="AA20">
            <v>0.81799999999999995</v>
          </cell>
          <cell r="AB20">
            <v>3745.1329841630422</v>
          </cell>
          <cell r="AC20">
            <v>0</v>
          </cell>
          <cell r="AD20">
            <v>0</v>
          </cell>
          <cell r="AE20">
            <v>0</v>
          </cell>
          <cell r="AF20">
            <v>8.7905321877665532</v>
          </cell>
          <cell r="AG20">
            <v>85.980634920634856</v>
          </cell>
          <cell r="AH20">
            <v>0</v>
          </cell>
          <cell r="AI20">
            <v>0</v>
          </cell>
          <cell r="AJ20">
            <v>7.0000000000000007E-2</v>
          </cell>
          <cell r="AK20">
            <v>627.50134326799014</v>
          </cell>
          <cell r="AL20">
            <v>9045.7999999999993</v>
          </cell>
          <cell r="AM20">
            <v>200.00000000000003</v>
          </cell>
          <cell r="AN20">
            <v>545.99</v>
          </cell>
        </row>
        <row r="21">
          <cell r="A21">
            <v>330</v>
          </cell>
          <cell r="B21" t="str">
            <v>ANALISTA ESPECIALIZADO EM CIÊNCIAS SOCIAIS APLICADAS I</v>
          </cell>
          <cell r="C21">
            <v>40</v>
          </cell>
          <cell r="D21">
            <v>200</v>
          </cell>
          <cell r="E21" t="str">
            <v>DIARISTA DIURNO</v>
          </cell>
          <cell r="F21" t="str">
            <v>ANALISTA ESPECIALIZADO EM CIÊNCIAS SOCIAIS APLICADAS I - DIARISTA DIURNO - 40H</v>
          </cell>
          <cell r="G21">
            <v>200</v>
          </cell>
          <cell r="L21">
            <v>8</v>
          </cell>
          <cell r="M21">
            <v>22</v>
          </cell>
          <cell r="N21">
            <v>24</v>
          </cell>
          <cell r="O21">
            <v>6</v>
          </cell>
          <cell r="R21">
            <v>5222.6933300395103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5222.6933300395103</v>
          </cell>
          <cell r="AA21">
            <v>0.81799999999999995</v>
          </cell>
          <cell r="AB21">
            <v>4272.1631439723196</v>
          </cell>
          <cell r="AC21">
            <v>0</v>
          </cell>
          <cell r="AD21">
            <v>0</v>
          </cell>
          <cell r="AE21">
            <v>0</v>
          </cell>
          <cell r="AF21">
            <v>9.6</v>
          </cell>
          <cell r="AG21">
            <v>58.745329819938547</v>
          </cell>
          <cell r="AH21">
            <v>0</v>
          </cell>
          <cell r="AI21">
            <v>0</v>
          </cell>
          <cell r="AJ21">
            <v>7.0000000000000007E-2</v>
          </cell>
          <cell r="AK21">
            <v>708.03472626822406</v>
          </cell>
          <cell r="AL21">
            <v>10271.23</v>
          </cell>
          <cell r="AM21">
            <v>181.81818181818184</v>
          </cell>
          <cell r="AN21">
            <v>551.58000000000004</v>
          </cell>
        </row>
        <row r="22">
          <cell r="A22">
            <v>331</v>
          </cell>
          <cell r="B22" t="str">
            <v>ANALISTA ESPECIALIZADO EM CIÊNCIAS SOCIAIS APLICADAS I</v>
          </cell>
          <cell r="C22">
            <v>44</v>
          </cell>
          <cell r="D22">
            <v>220</v>
          </cell>
          <cell r="E22" t="str">
            <v>DIARISTA DIURNO</v>
          </cell>
          <cell r="F22" t="str">
            <v>ANALISTA ESPECIALIZADO EM CIÊNCIAS SOCIAIS APLICADAS I - DIARISTA DIURNO - 44H</v>
          </cell>
          <cell r="G22">
            <v>220</v>
          </cell>
          <cell r="L22">
            <v>8</v>
          </cell>
          <cell r="M22">
            <v>22</v>
          </cell>
          <cell r="N22">
            <v>24</v>
          </cell>
          <cell r="O22">
            <v>6</v>
          </cell>
          <cell r="R22">
            <v>5744.9626630434614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5744.9626630434614</v>
          </cell>
          <cell r="AA22">
            <v>0.81799999999999995</v>
          </cell>
          <cell r="AB22">
            <v>4699.3794583695508</v>
          </cell>
          <cell r="AC22">
            <v>0</v>
          </cell>
          <cell r="AD22">
            <v>0</v>
          </cell>
          <cell r="AE22">
            <v>0</v>
          </cell>
          <cell r="AF22">
            <v>9.6</v>
          </cell>
          <cell r="AG22">
            <v>48.71609468599037</v>
          </cell>
          <cell r="AH22">
            <v>0</v>
          </cell>
          <cell r="AI22">
            <v>0</v>
          </cell>
          <cell r="AJ22">
            <v>7.0000000000000007E-2</v>
          </cell>
          <cell r="AK22">
            <v>773.7966751269305</v>
          </cell>
          <cell r="AL22">
            <v>11276.45</v>
          </cell>
          <cell r="AM22">
            <v>200.00000000000003</v>
          </cell>
          <cell r="AN22">
            <v>551.58000000000004</v>
          </cell>
        </row>
        <row r="23">
          <cell r="A23">
            <v>334</v>
          </cell>
          <cell r="B23" t="str">
            <v>ANALISTA ESPECIALIZADO EM CIÊNCIAS SOCIAIS APLICADAS II</v>
          </cell>
          <cell r="C23">
            <v>40</v>
          </cell>
          <cell r="D23">
            <v>200</v>
          </cell>
          <cell r="E23" t="str">
            <v>DIARISTA DIURNO</v>
          </cell>
          <cell r="F23" t="str">
            <v>ANALISTA ESPECIALIZADO EM CIÊNCIAS SOCIAIS APLICADAS II - DIARISTA DIURNO - 40H</v>
          </cell>
          <cell r="G23">
            <v>200</v>
          </cell>
          <cell r="L23">
            <v>8</v>
          </cell>
          <cell r="M23">
            <v>22</v>
          </cell>
          <cell r="N23">
            <v>24</v>
          </cell>
          <cell r="O23">
            <v>6</v>
          </cell>
          <cell r="R23">
            <v>4210.7493653846141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4210.7493653846141</v>
          </cell>
          <cell r="AA23">
            <v>0.81799999999999995</v>
          </cell>
          <cell r="AB23">
            <v>3444.3929808846142</v>
          </cell>
          <cell r="AC23">
            <v>0</v>
          </cell>
          <cell r="AD23">
            <v>1.6581818181818184</v>
          </cell>
          <cell r="AE23">
            <v>1.6581818181818184</v>
          </cell>
          <cell r="AF23">
            <v>8.0846387815384588</v>
          </cell>
          <cell r="AG23">
            <v>94.304055944055932</v>
          </cell>
          <cell r="AH23">
            <v>0</v>
          </cell>
          <cell r="AI23">
            <v>0</v>
          </cell>
          <cell r="AJ23">
            <v>7.0000000000000007E-2</v>
          </cell>
          <cell r="AK23">
            <v>581.75384559691042</v>
          </cell>
          <cell r="AL23">
            <v>8340.94</v>
          </cell>
          <cell r="AM23">
            <v>181.81818181818184</v>
          </cell>
          <cell r="AN23">
            <v>551.58000000000004</v>
          </cell>
        </row>
        <row r="24">
          <cell r="A24">
            <v>326</v>
          </cell>
          <cell r="B24" t="str">
            <v>ANALISTA ESPECIALIZADO EM INFRAESTRUTURA</v>
          </cell>
          <cell r="C24">
            <v>40</v>
          </cell>
          <cell r="D24">
            <v>200</v>
          </cell>
          <cell r="E24" t="str">
            <v>DIARISTA DIURNO</v>
          </cell>
          <cell r="F24" t="str">
            <v>ANALISTA ESPECIALIZADO EM INFRAESTRUTURA - DIARISTA DIURNO - 40H</v>
          </cell>
          <cell r="G24">
            <v>200</v>
          </cell>
          <cell r="L24">
            <v>8</v>
          </cell>
          <cell r="M24">
            <v>22</v>
          </cell>
          <cell r="N24">
            <v>24</v>
          </cell>
          <cell r="O24">
            <v>6</v>
          </cell>
          <cell r="R24">
            <v>12213.619589977079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12213.619589977079</v>
          </cell>
          <cell r="AA24">
            <v>0.81799999999999995</v>
          </cell>
          <cell r="AB24">
            <v>9990.740824601251</v>
          </cell>
          <cell r="AC24">
            <v>0</v>
          </cell>
          <cell r="AD24">
            <v>7.5437862378295595</v>
          </cell>
          <cell r="AE24">
            <v>7.5437862378295595</v>
          </cell>
          <cell r="AF24">
            <v>9.6</v>
          </cell>
          <cell r="AG24">
            <v>0.73920863309352747</v>
          </cell>
          <cell r="AH24">
            <v>0</v>
          </cell>
          <cell r="AI24">
            <v>0</v>
          </cell>
          <cell r="AJ24">
            <v>7.0000000000000007E-2</v>
          </cell>
          <cell r="AK24">
            <v>1591.3340789492179</v>
          </cell>
          <cell r="AL24">
            <v>23813.57</v>
          </cell>
          <cell r="AM24">
            <v>181.81818181818184</v>
          </cell>
          <cell r="AN24">
            <v>511.1</v>
          </cell>
        </row>
        <row r="25">
          <cell r="A25">
            <v>327</v>
          </cell>
          <cell r="B25" t="str">
            <v>ANALISTA ESPECIALIZADO EM INFRAESTRUTURA</v>
          </cell>
          <cell r="C25">
            <v>44</v>
          </cell>
          <cell r="D25">
            <v>220</v>
          </cell>
          <cell r="E25" t="str">
            <v>DIARISTA DIURNO</v>
          </cell>
          <cell r="F25" t="str">
            <v>ANALISTA ESPECIALIZADO EM INFRAESTRUTURA - DIARISTA DIURNO - 44H</v>
          </cell>
          <cell r="G25">
            <v>220</v>
          </cell>
          <cell r="L25">
            <v>8</v>
          </cell>
          <cell r="M25">
            <v>22</v>
          </cell>
          <cell r="N25">
            <v>24</v>
          </cell>
          <cell r="O25">
            <v>6</v>
          </cell>
          <cell r="R25">
            <v>12213.619589977079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12213.619589977079</v>
          </cell>
          <cell r="AA25">
            <v>0.81799999999999995</v>
          </cell>
          <cell r="AB25">
            <v>9990.740824601251</v>
          </cell>
          <cell r="AC25">
            <v>0</v>
          </cell>
          <cell r="AD25">
            <v>7.5437862378295595</v>
          </cell>
          <cell r="AE25">
            <v>7.5437862378295595</v>
          </cell>
          <cell r="AF25">
            <v>9.6</v>
          </cell>
          <cell r="AG25">
            <v>1.0683453237412266E-2</v>
          </cell>
          <cell r="AH25">
            <v>0</v>
          </cell>
          <cell r="AI25">
            <v>0</v>
          </cell>
          <cell r="AJ25">
            <v>7.0000000000000007E-2</v>
          </cell>
          <cell r="AK25">
            <v>1591.2830821866278</v>
          </cell>
          <cell r="AL25">
            <v>23812.79</v>
          </cell>
          <cell r="AM25">
            <v>200.00000000000003</v>
          </cell>
          <cell r="AN25">
            <v>511.1</v>
          </cell>
        </row>
        <row r="26">
          <cell r="A26">
            <v>338</v>
          </cell>
          <cell r="B26" t="str">
            <v>ANALISTA ESPECIALIZADO EM SAÚDE E MEIO AMBIENTE I</v>
          </cell>
          <cell r="C26">
            <v>40</v>
          </cell>
          <cell r="D26">
            <v>200</v>
          </cell>
          <cell r="E26" t="str">
            <v>DIARISTA DIURNO</v>
          </cell>
          <cell r="F26" t="str">
            <v>ANALISTA ESPECIALIZADO EM SAÚDE E MEIO AMBIENTE I - DIARISTA DIURNO - 40H</v>
          </cell>
          <cell r="G26">
            <v>200</v>
          </cell>
          <cell r="L26">
            <v>8</v>
          </cell>
          <cell r="M26">
            <v>22</v>
          </cell>
          <cell r="N26">
            <v>24</v>
          </cell>
          <cell r="O26">
            <v>6</v>
          </cell>
          <cell r="R26">
            <v>6473.0354509297531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6473.0354509297531</v>
          </cell>
          <cell r="AA26">
            <v>0.81799999999999995</v>
          </cell>
          <cell r="AB26">
            <v>5294.942998860538</v>
          </cell>
          <cell r="AC26">
            <v>0</v>
          </cell>
          <cell r="AD26">
            <v>5.1878512396694214</v>
          </cell>
          <cell r="AE26">
            <v>5.1878512396694214</v>
          </cell>
          <cell r="AF26">
            <v>9.6</v>
          </cell>
          <cell r="AG26">
            <v>44.467396694214884</v>
          </cell>
          <cell r="AH26">
            <v>0</v>
          </cell>
          <cell r="AI26">
            <v>0</v>
          </cell>
          <cell r="AJ26">
            <v>7.0000000000000007E-2</v>
          </cell>
          <cell r="AK26">
            <v>866.30275884069238</v>
          </cell>
          <cell r="AL26">
            <v>12693.53</v>
          </cell>
          <cell r="AM26">
            <v>181.81818181818184</v>
          </cell>
          <cell r="AN26">
            <v>548.52</v>
          </cell>
        </row>
        <row r="27">
          <cell r="A27">
            <v>339</v>
          </cell>
          <cell r="B27" t="str">
            <v>ANALISTA ESPECIALIZADO EM SAÚDE E MEIO AMBIENTE I</v>
          </cell>
          <cell r="C27">
            <v>44</v>
          </cell>
          <cell r="D27">
            <v>220</v>
          </cell>
          <cell r="E27" t="str">
            <v>DIARISTA DIURNO</v>
          </cell>
          <cell r="F27" t="str">
            <v>ANALISTA ESPECIALIZADO EM SAÚDE E MEIO AMBIENTE I - DIARISTA DIURNO - 44H</v>
          </cell>
          <cell r="G27">
            <v>220</v>
          </cell>
          <cell r="L27">
            <v>8</v>
          </cell>
          <cell r="M27">
            <v>22</v>
          </cell>
          <cell r="N27">
            <v>24</v>
          </cell>
          <cell r="O27">
            <v>6</v>
          </cell>
          <cell r="R27">
            <v>7120.3389960227278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7120.3389960227278</v>
          </cell>
          <cell r="AA27">
            <v>0.81799999999999995</v>
          </cell>
          <cell r="AB27">
            <v>5824.4372987465913</v>
          </cell>
          <cell r="AC27">
            <v>0</v>
          </cell>
          <cell r="AD27">
            <v>5.1878512396694214</v>
          </cell>
          <cell r="AE27">
            <v>5.1878512396694214</v>
          </cell>
          <cell r="AF27">
            <v>9.6</v>
          </cell>
          <cell r="AG27">
            <v>39.256136363636365</v>
          </cell>
          <cell r="AH27">
            <v>0</v>
          </cell>
          <cell r="AI27">
            <v>0</v>
          </cell>
          <cell r="AJ27">
            <v>7.0000000000000007E-2</v>
          </cell>
          <cell r="AK27">
            <v>948.31381976608384</v>
          </cell>
          <cell r="AL27">
            <v>13947.13</v>
          </cell>
          <cell r="AM27">
            <v>200.00000000000003</v>
          </cell>
          <cell r="AN27">
            <v>548.52</v>
          </cell>
        </row>
        <row r="28">
          <cell r="A28">
            <v>342</v>
          </cell>
          <cell r="B28" t="str">
            <v>ANALISTA ESPECIALIZADO EM SAÚDE E MEIO AMBIENTE II</v>
          </cell>
          <cell r="C28">
            <v>40</v>
          </cell>
          <cell r="D28">
            <v>200</v>
          </cell>
          <cell r="E28" t="str">
            <v>DIARISTA DIURNO</v>
          </cell>
          <cell r="F28" t="str">
            <v>ANALISTA ESPECIALIZADO EM SAÚDE E MEIO AMBIENTE II - DIARISTA DIURNO - 40H</v>
          </cell>
          <cell r="G28">
            <v>200</v>
          </cell>
          <cell r="L28">
            <v>8</v>
          </cell>
          <cell r="M28">
            <v>22</v>
          </cell>
          <cell r="N28">
            <v>24</v>
          </cell>
          <cell r="O28">
            <v>6</v>
          </cell>
          <cell r="R28">
            <v>3644.5402500000009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3644.5402500000009</v>
          </cell>
          <cell r="AA28">
            <v>0.81799999999999995</v>
          </cell>
          <cell r="AB28">
            <v>2981.2339245000007</v>
          </cell>
          <cell r="AC28">
            <v>0</v>
          </cell>
          <cell r="AD28">
            <v>0</v>
          </cell>
          <cell r="AE28">
            <v>0</v>
          </cell>
          <cell r="AF28">
            <v>6.9975172800000012</v>
          </cell>
          <cell r="AG28">
            <v>62.176623376623382</v>
          </cell>
          <cell r="AH28">
            <v>0</v>
          </cell>
          <cell r="AI28">
            <v>0</v>
          </cell>
          <cell r="AJ28">
            <v>7.0000000000000007E-2</v>
          </cell>
          <cell r="AK28">
            <v>507.25698206096376</v>
          </cell>
          <cell r="AL28">
            <v>7202.2</v>
          </cell>
          <cell r="AM28">
            <v>181.81818181818184</v>
          </cell>
          <cell r="AN28">
            <v>551.58000000000004</v>
          </cell>
        </row>
        <row r="29">
          <cell r="A29">
            <v>1895</v>
          </cell>
          <cell r="B29" t="str">
            <v>ANALISTA ESPECIALIZADO EM SAÚDE E MEIO AMBIENTE III</v>
          </cell>
          <cell r="C29">
            <v>40</v>
          </cell>
          <cell r="D29">
            <v>200</v>
          </cell>
          <cell r="E29" t="str">
            <v>DIARISTA DIURNO</v>
          </cell>
          <cell r="F29" t="str">
            <v>ANALISTA ESPECIALIZADO EM SAÚDE E MEIO AMBIENTE III - DIARISTA DIURNO - 40H</v>
          </cell>
          <cell r="G29">
            <v>200</v>
          </cell>
          <cell r="L29">
            <v>8</v>
          </cell>
          <cell r="M29">
            <v>22</v>
          </cell>
          <cell r="N29">
            <v>24</v>
          </cell>
          <cell r="O29">
            <v>6</v>
          </cell>
          <cell r="R29">
            <v>12851.646500000001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12851.646500000001</v>
          </cell>
          <cell r="AA29">
            <v>0.81799999999999995</v>
          </cell>
          <cell r="AB29">
            <v>10512.646837</v>
          </cell>
          <cell r="AC29">
            <v>0</v>
          </cell>
          <cell r="AD29">
            <v>80.160909090909087</v>
          </cell>
          <cell r="AE29">
            <v>80.160909090909087</v>
          </cell>
          <cell r="AF29">
            <v>9.6</v>
          </cell>
          <cell r="AG29">
            <v>0</v>
          </cell>
          <cell r="AH29">
            <v>0</v>
          </cell>
          <cell r="AI29">
            <v>0</v>
          </cell>
          <cell r="AJ29">
            <v>7.0000000000000007E-2</v>
          </cell>
          <cell r="AK29">
            <v>1680.3943972263639</v>
          </cell>
          <cell r="AL29">
            <v>25134.44</v>
          </cell>
          <cell r="AM29">
            <v>181.81818181818184</v>
          </cell>
          <cell r="AN29">
            <v>551.58000000000004</v>
          </cell>
        </row>
        <row r="30">
          <cell r="A30">
            <v>2013</v>
          </cell>
          <cell r="B30" t="str">
            <v>ANALISTA ESPECIALIZADO EM SAÚDE E MEIO AMBIENTE IV</v>
          </cell>
          <cell r="C30">
            <v>24</v>
          </cell>
          <cell r="D30">
            <v>120</v>
          </cell>
          <cell r="E30" t="str">
            <v>DIARISTA DIURNO</v>
          </cell>
          <cell r="F30" t="str">
            <v>ANALISTA ESPECIALIZADO EM SAÚDE E MEIO AMBIENTE IV - DIARISTA DIURNO - 24H</v>
          </cell>
          <cell r="G30">
            <v>120</v>
          </cell>
          <cell r="L30">
            <v>8</v>
          </cell>
          <cell r="M30">
            <v>22</v>
          </cell>
          <cell r="N30">
            <v>24</v>
          </cell>
          <cell r="O30">
            <v>6</v>
          </cell>
          <cell r="R30">
            <v>14224.110000000002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14224.110000000002</v>
          </cell>
          <cell r="AA30">
            <v>0.81799999999999995</v>
          </cell>
          <cell r="AB30">
            <v>11635.321980000001</v>
          </cell>
          <cell r="AC30">
            <v>0</v>
          </cell>
          <cell r="AD30">
            <v>0</v>
          </cell>
          <cell r="AE30">
            <v>0</v>
          </cell>
          <cell r="AF30">
            <v>9.6</v>
          </cell>
          <cell r="AG30">
            <v>0</v>
          </cell>
          <cell r="AH30">
            <v>0</v>
          </cell>
          <cell r="AI30">
            <v>0</v>
          </cell>
          <cell r="AJ30">
            <v>7.0000000000000007E-2</v>
          </cell>
          <cell r="AK30">
            <v>1849.4428386000002</v>
          </cell>
          <cell r="AL30">
            <v>27718.47</v>
          </cell>
          <cell r="AM30">
            <v>109.09090909090909</v>
          </cell>
          <cell r="AN30">
            <v>551.58000000000004</v>
          </cell>
        </row>
        <row r="31">
          <cell r="A31">
            <v>2014</v>
          </cell>
          <cell r="B31" t="str">
            <v>ANALISTA ESPECIALIZADO EM SAÚDE E MEIO AMBIENTE V</v>
          </cell>
          <cell r="C31">
            <v>40</v>
          </cell>
          <cell r="D31">
            <v>200</v>
          </cell>
          <cell r="E31" t="str">
            <v>DIARISTA DIURNO</v>
          </cell>
          <cell r="F31" t="str">
            <v>ANALISTA ESPECIALIZADO EM SAÚDE E MEIO AMBIENTE V - DIARISTA DIURNO - 40H</v>
          </cell>
          <cell r="G31">
            <v>200</v>
          </cell>
          <cell r="L31">
            <v>8</v>
          </cell>
          <cell r="M31">
            <v>22</v>
          </cell>
          <cell r="N31">
            <v>24</v>
          </cell>
          <cell r="O31">
            <v>6</v>
          </cell>
          <cell r="R31">
            <v>21867.41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21867.41</v>
          </cell>
          <cell r="AA31">
            <v>0.81799999999999995</v>
          </cell>
          <cell r="AB31">
            <v>17887.541379999999</v>
          </cell>
          <cell r="AC31">
            <v>0</v>
          </cell>
          <cell r="AD31">
            <v>0</v>
          </cell>
          <cell r="AE31">
            <v>0</v>
          </cell>
          <cell r="AF31">
            <v>9.6</v>
          </cell>
          <cell r="AG31">
            <v>0</v>
          </cell>
          <cell r="AH31">
            <v>0</v>
          </cell>
          <cell r="AI31">
            <v>0</v>
          </cell>
          <cell r="AJ31">
            <v>7.0000000000000007E-2</v>
          </cell>
          <cell r="AK31">
            <v>2822.1291966000003</v>
          </cell>
          <cell r="AL31">
            <v>42586.68</v>
          </cell>
          <cell r="AM31">
            <v>181.81818181818184</v>
          </cell>
          <cell r="AN31">
            <v>551.58000000000004</v>
          </cell>
        </row>
        <row r="32">
          <cell r="A32">
            <v>225</v>
          </cell>
          <cell r="B32" t="str">
            <v>APOIO À MANUTENÇÃO VEICULAR</v>
          </cell>
          <cell r="C32">
            <v>44</v>
          </cell>
          <cell r="D32">
            <v>220</v>
          </cell>
          <cell r="E32" t="str">
            <v>DIARISTA DIURNO</v>
          </cell>
          <cell r="F32" t="str">
            <v>APOIO À MANUTENÇÃO VEICULAR - DIARISTA DIURNO - 44H</v>
          </cell>
          <cell r="G32">
            <v>220</v>
          </cell>
          <cell r="L32">
            <v>8</v>
          </cell>
          <cell r="M32">
            <v>22</v>
          </cell>
          <cell r="N32">
            <v>24</v>
          </cell>
          <cell r="O32">
            <v>6</v>
          </cell>
          <cell r="R32">
            <v>2855.5923750000002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2855.5923750000002</v>
          </cell>
          <cell r="AA32">
            <v>0.81799999999999995</v>
          </cell>
          <cell r="AB32">
            <v>2335.8745627500002</v>
          </cell>
          <cell r="AC32">
            <v>19.18</v>
          </cell>
          <cell r="AD32">
            <v>20.262500000000003</v>
          </cell>
          <cell r="AE32">
            <v>39.442500000000003</v>
          </cell>
          <cell r="AF32">
            <v>5.4827373599999998</v>
          </cell>
          <cell r="AG32">
            <v>344.565</v>
          </cell>
          <cell r="AH32">
            <v>3.275860028640018E-2</v>
          </cell>
          <cell r="AI32">
            <v>200.89333406091819</v>
          </cell>
          <cell r="AJ32">
            <v>7.0000000000000007E-2</v>
          </cell>
          <cell r="AK32">
            <v>443.34013564196431</v>
          </cell>
          <cell r="AL32">
            <v>6225.19</v>
          </cell>
          <cell r="AM32">
            <v>200.00000000000003</v>
          </cell>
          <cell r="AN32">
            <v>551.58000000000004</v>
          </cell>
        </row>
        <row r="33">
          <cell r="A33">
            <v>270</v>
          </cell>
          <cell r="B33" t="str">
            <v>ARTESÃO</v>
          </cell>
          <cell r="C33">
            <v>40</v>
          </cell>
          <cell r="D33">
            <v>200</v>
          </cell>
          <cell r="E33" t="str">
            <v>DIARISTA DIURNO</v>
          </cell>
          <cell r="F33" t="str">
            <v>ARTESÃO - DIARISTA DIURNO - 40H</v>
          </cell>
          <cell r="G33">
            <v>200</v>
          </cell>
          <cell r="L33">
            <v>8</v>
          </cell>
          <cell r="M33">
            <v>22</v>
          </cell>
          <cell r="N33">
            <v>24</v>
          </cell>
          <cell r="O33">
            <v>6</v>
          </cell>
          <cell r="R33">
            <v>2086.1019999999999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2086.1019999999999</v>
          </cell>
          <cell r="AA33">
            <v>0.81799999999999995</v>
          </cell>
          <cell r="AB33">
            <v>1706.4314359999998</v>
          </cell>
          <cell r="AC33">
            <v>20.923636363636362</v>
          </cell>
          <cell r="AD33">
            <v>0</v>
          </cell>
          <cell r="AE33">
            <v>20.923636363636362</v>
          </cell>
          <cell r="AF33">
            <v>4.0053158399999997</v>
          </cell>
          <cell r="AG33">
            <v>0</v>
          </cell>
          <cell r="AH33">
            <v>0</v>
          </cell>
          <cell r="AI33">
            <v>0</v>
          </cell>
          <cell r="AJ33">
            <v>7.0000000000000007E-2</v>
          </cell>
          <cell r="AK33">
            <v>305.83296717425458</v>
          </cell>
          <cell r="AL33">
            <v>4123.29</v>
          </cell>
          <cell r="AM33">
            <v>181.81818181818184</v>
          </cell>
          <cell r="AN33">
            <v>551.58000000000004</v>
          </cell>
        </row>
        <row r="34">
          <cell r="A34">
            <v>17</v>
          </cell>
          <cell r="B34" t="str">
            <v>ASCENSORISTA</v>
          </cell>
          <cell r="C34">
            <v>30</v>
          </cell>
          <cell r="D34">
            <v>150</v>
          </cell>
          <cell r="E34" t="str">
            <v>DIARISTA DIURNO</v>
          </cell>
          <cell r="F34" t="str">
            <v>ASCENSORISTA - DIARISTA DIURNO - 30H</v>
          </cell>
          <cell r="G34">
            <v>150</v>
          </cell>
          <cell r="L34">
            <v>6</v>
          </cell>
          <cell r="M34">
            <v>22</v>
          </cell>
          <cell r="N34">
            <v>24</v>
          </cell>
          <cell r="O34">
            <v>6</v>
          </cell>
          <cell r="R34">
            <v>1674.5764722222216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1674.5764722222216</v>
          </cell>
          <cell r="AA34">
            <v>0.81799999999999995</v>
          </cell>
          <cell r="AB34">
            <v>1369.8035542777773</v>
          </cell>
          <cell r="AC34">
            <v>39.767499999999998</v>
          </cell>
          <cell r="AD34">
            <v>0</v>
          </cell>
          <cell r="AE34">
            <v>39.767499999999998</v>
          </cell>
          <cell r="AF34">
            <v>3.215186826666665</v>
          </cell>
          <cell r="AG34">
            <v>308.89101010101012</v>
          </cell>
          <cell r="AH34">
            <v>3.3204910867883783E-2</v>
          </cell>
          <cell r="AI34">
            <v>131.08746690764173</v>
          </cell>
          <cell r="AJ34">
            <v>7.0000000000000007E-2</v>
          </cell>
          <cell r="AK34">
            <v>285.52448332347223</v>
          </cell>
          <cell r="AL34">
            <v>3812.86</v>
          </cell>
          <cell r="AM34">
            <v>136.36363636363637</v>
          </cell>
          <cell r="AN34">
            <v>551.58000000000004</v>
          </cell>
        </row>
        <row r="35">
          <cell r="A35">
            <v>16</v>
          </cell>
          <cell r="B35" t="str">
            <v>ASCENSORISTA</v>
          </cell>
          <cell r="C35">
            <v>36</v>
          </cell>
          <cell r="D35">
            <v>180</v>
          </cell>
          <cell r="E35" t="str">
            <v>ESCALA DIURNA</v>
          </cell>
          <cell r="F35" t="str">
            <v>ASCENSORISTA - ESCALA DIURNA - 36H</v>
          </cell>
          <cell r="G35">
            <v>180</v>
          </cell>
          <cell r="K35" t="str">
            <v>X</v>
          </cell>
          <cell r="L35">
            <v>6</v>
          </cell>
          <cell r="M35">
            <v>26</v>
          </cell>
          <cell r="N35">
            <v>24</v>
          </cell>
          <cell r="O35">
            <v>6</v>
          </cell>
          <cell r="R35">
            <v>2009.4917666666661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90.706225578703666</v>
          </cell>
          <cell r="Y35">
            <v>0</v>
          </cell>
          <cell r="Z35">
            <v>2100.1979922453697</v>
          </cell>
          <cell r="AA35">
            <v>0.81799999999999995</v>
          </cell>
          <cell r="AB35">
            <v>1717.9619576567122</v>
          </cell>
          <cell r="AC35">
            <v>39.767499999999998</v>
          </cell>
          <cell r="AD35">
            <v>0</v>
          </cell>
          <cell r="AE35">
            <v>39.767499999999998</v>
          </cell>
          <cell r="AF35">
            <v>3.8582241919999984</v>
          </cell>
          <cell r="AG35">
            <v>291.110101010101</v>
          </cell>
          <cell r="AH35">
            <v>3.3204910867883783E-2</v>
          </cell>
          <cell r="AI35">
            <v>156.21169879245289</v>
          </cell>
          <cell r="AJ35">
            <v>7.0000000000000007E-2</v>
          </cell>
          <cell r="AK35">
            <v>340.24812317276456</v>
          </cell>
          <cell r="AL35">
            <v>4649.3500000000004</v>
          </cell>
          <cell r="AM35">
            <v>163.63636363636365</v>
          </cell>
          <cell r="AN35">
            <v>651.86</v>
          </cell>
        </row>
        <row r="36">
          <cell r="A36">
            <v>22</v>
          </cell>
          <cell r="B36" t="str">
            <v>ASCENSORISTA</v>
          </cell>
          <cell r="C36">
            <v>36</v>
          </cell>
          <cell r="D36">
            <v>180</v>
          </cell>
          <cell r="E36" t="str">
            <v>ESCALA NOTURNA</v>
          </cell>
          <cell r="F36" t="str">
            <v>ASCENSORISTA (0H ÀS 6H) - ESCALA NOTURNA - 36H</v>
          </cell>
          <cell r="G36">
            <v>180</v>
          </cell>
          <cell r="H36" t="str">
            <v>(0H ÀS 6H)</v>
          </cell>
          <cell r="K36" t="str">
            <v>X</v>
          </cell>
          <cell r="L36">
            <v>6</v>
          </cell>
          <cell r="M36">
            <v>26</v>
          </cell>
          <cell r="N36">
            <v>24</v>
          </cell>
          <cell r="O36">
            <v>6</v>
          </cell>
          <cell r="P36">
            <v>5</v>
          </cell>
          <cell r="Q36">
            <v>1</v>
          </cell>
          <cell r="R36">
            <v>2009.4917666666661</v>
          </cell>
          <cell r="S36">
            <v>0</v>
          </cell>
          <cell r="T36">
            <v>666.41387086638611</v>
          </cell>
          <cell r="U36">
            <v>10.18275416843845</v>
          </cell>
          <cell r="V36">
            <v>54.550452394351076</v>
          </cell>
          <cell r="W36">
            <v>0</v>
          </cell>
          <cell r="X36">
            <v>90.706225578703666</v>
          </cell>
          <cell r="Y36">
            <v>0</v>
          </cell>
          <cell r="Z36">
            <v>2831.3450696745449</v>
          </cell>
          <cell r="AA36">
            <v>0.81799999999999995</v>
          </cell>
          <cell r="AB36">
            <v>2316.0402669937775</v>
          </cell>
          <cell r="AC36">
            <v>39.767499999999998</v>
          </cell>
          <cell r="AD36">
            <v>0</v>
          </cell>
          <cell r="AE36">
            <v>39.767499999999998</v>
          </cell>
          <cell r="AF36">
            <v>3.8582241919999984</v>
          </cell>
          <cell r="AG36">
            <v>291.110101010101</v>
          </cell>
          <cell r="AH36">
            <v>3.3204910867883783E-2</v>
          </cell>
          <cell r="AI36">
            <v>200.34850928335425</v>
          </cell>
          <cell r="AJ36">
            <v>7.0000000000000007E-2</v>
          </cell>
          <cell r="AK36">
            <v>436.3834769807645</v>
          </cell>
          <cell r="AL36">
            <v>6118.85</v>
          </cell>
          <cell r="AM36">
            <v>163.63636363636365</v>
          </cell>
          <cell r="AN36">
            <v>651.86</v>
          </cell>
        </row>
        <row r="37">
          <cell r="A37">
            <v>24</v>
          </cell>
          <cell r="B37" t="str">
            <v>ASCENSORISTA</v>
          </cell>
          <cell r="C37">
            <v>36</v>
          </cell>
          <cell r="D37">
            <v>180</v>
          </cell>
          <cell r="E37" t="str">
            <v>ESCALA NOTURNA</v>
          </cell>
          <cell r="F37" t="str">
            <v>ASCENSORISTA (18H ÀS 0H) - ESCALA NOTURNA - 36H</v>
          </cell>
          <cell r="G37">
            <v>180</v>
          </cell>
          <cell r="H37" t="str">
            <v>(18H ÀS 0H)</v>
          </cell>
          <cell r="K37" t="str">
            <v>X</v>
          </cell>
          <cell r="L37">
            <v>6</v>
          </cell>
          <cell r="M37">
            <v>26</v>
          </cell>
          <cell r="N37">
            <v>24</v>
          </cell>
          <cell r="O37">
            <v>6</v>
          </cell>
          <cell r="P37">
            <v>2</v>
          </cell>
          <cell r="R37">
            <v>2009.4917666666661</v>
          </cell>
          <cell r="S37">
            <v>0</v>
          </cell>
          <cell r="T37">
            <v>266.56554834655441</v>
          </cell>
          <cell r="U37">
            <v>0</v>
          </cell>
          <cell r="V37">
            <v>21.820180957740426</v>
          </cell>
          <cell r="W37">
            <v>0</v>
          </cell>
          <cell r="X37">
            <v>90.706225578703666</v>
          </cell>
          <cell r="Y37">
            <v>0</v>
          </cell>
          <cell r="Z37">
            <v>2388.5837215496645</v>
          </cell>
          <cell r="AA37">
            <v>0.81799999999999995</v>
          </cell>
          <cell r="AB37">
            <v>1953.8614842276254</v>
          </cell>
          <cell r="AC37">
            <v>39.767499999999998</v>
          </cell>
          <cell r="AD37">
            <v>0</v>
          </cell>
          <cell r="AE37">
            <v>39.767499999999998</v>
          </cell>
          <cell r="AF37">
            <v>3.8582241919999984</v>
          </cell>
          <cell r="AG37">
            <v>291.110101010101</v>
          </cell>
          <cell r="AH37">
            <v>3.3204910867883783E-2</v>
          </cell>
          <cell r="AI37">
            <v>173.62054398313478</v>
          </cell>
          <cell r="AJ37">
            <v>7.0000000000000007E-2</v>
          </cell>
          <cell r="AK37">
            <v>378.16671024737684</v>
          </cell>
          <cell r="AL37">
            <v>5228.96</v>
          </cell>
          <cell r="AM37">
            <v>163.63636363636365</v>
          </cell>
          <cell r="AN37">
            <v>651.86</v>
          </cell>
        </row>
        <row r="38">
          <cell r="A38">
            <v>1157</v>
          </cell>
          <cell r="B38" t="str">
            <v>ASSESSOR ESTRATÉGICO II</v>
          </cell>
          <cell r="C38">
            <v>40</v>
          </cell>
          <cell r="D38">
            <v>200</v>
          </cell>
          <cell r="E38" t="str">
            <v>DIARISTA DIURNO</v>
          </cell>
          <cell r="F38" t="str">
            <v>ASSESSOR ESTRATÉGICO II - DIARISTA DIURNO</v>
          </cell>
          <cell r="G38">
            <v>200</v>
          </cell>
          <cell r="L38">
            <v>8</v>
          </cell>
          <cell r="M38">
            <v>22</v>
          </cell>
          <cell r="N38">
            <v>24</v>
          </cell>
          <cell r="O38">
            <v>6</v>
          </cell>
          <cell r="R38">
            <v>14191.030425000004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14191.030425000004</v>
          </cell>
          <cell r="AA38">
            <v>0.81799999999999995</v>
          </cell>
          <cell r="AB38">
            <v>11608.262887650002</v>
          </cell>
          <cell r="AC38">
            <v>0</v>
          </cell>
          <cell r="AD38">
            <v>0</v>
          </cell>
          <cell r="AE38">
            <v>0</v>
          </cell>
          <cell r="AF38">
            <v>9.6</v>
          </cell>
          <cell r="AG38">
            <v>0</v>
          </cell>
          <cell r="AH38">
            <v>0</v>
          </cell>
          <cell r="AI38">
            <v>0</v>
          </cell>
          <cell r="AJ38">
            <v>7.0000000000000007E-2</v>
          </cell>
          <cell r="AK38">
            <v>1845.1432052188338</v>
          </cell>
          <cell r="AL38">
            <v>27654.03</v>
          </cell>
          <cell r="AM38">
            <v>181.81818181818184</v>
          </cell>
          <cell r="AN38">
            <v>550.29</v>
          </cell>
        </row>
        <row r="39">
          <cell r="A39">
            <v>374</v>
          </cell>
          <cell r="B39" t="str">
            <v>ASSESSOR ESTRATÉGICO</v>
          </cell>
          <cell r="C39">
            <v>40</v>
          </cell>
          <cell r="D39">
            <v>200</v>
          </cell>
          <cell r="E39" t="str">
            <v>DIARISTA DIURNO</v>
          </cell>
          <cell r="F39" t="str">
            <v>ASSESSOR ESTRATÉGICO - DIARISTA DIURNO</v>
          </cell>
          <cell r="G39">
            <v>200</v>
          </cell>
          <cell r="L39">
            <v>8</v>
          </cell>
          <cell r="M39">
            <v>22</v>
          </cell>
          <cell r="N39">
            <v>24</v>
          </cell>
          <cell r="O39">
            <v>6</v>
          </cell>
          <cell r="R39">
            <v>12851.646500000001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12851.646500000001</v>
          </cell>
          <cell r="AA39">
            <v>0.81799999999999995</v>
          </cell>
          <cell r="AB39">
            <v>10512.646837</v>
          </cell>
          <cell r="AC39">
            <v>0</v>
          </cell>
          <cell r="AD39">
            <v>0</v>
          </cell>
          <cell r="AE39">
            <v>0</v>
          </cell>
          <cell r="AF39">
            <v>9.6</v>
          </cell>
          <cell r="AG39">
            <v>0</v>
          </cell>
          <cell r="AH39">
            <v>0</v>
          </cell>
          <cell r="AI39">
            <v>0</v>
          </cell>
          <cell r="AJ39">
            <v>7.0000000000000007E-2</v>
          </cell>
          <cell r="AK39">
            <v>1674.7831335900005</v>
          </cell>
          <cell r="AL39">
            <v>25048.67</v>
          </cell>
          <cell r="AM39">
            <v>181.81818181818184</v>
          </cell>
          <cell r="AN39">
            <v>551.58000000000004</v>
          </cell>
        </row>
        <row r="40">
          <cell r="A40" t="str">
            <v>A</v>
          </cell>
          <cell r="B40" t="str">
            <v>ASSESSOR ESPECIALIZADO</v>
          </cell>
          <cell r="C40">
            <v>40</v>
          </cell>
          <cell r="D40">
            <v>200</v>
          </cell>
          <cell r="E40" t="str">
            <v>DIARISTA DIURNO</v>
          </cell>
          <cell r="F40" t="str">
            <v>ASSESSOR ESPECIALIZADO - DIARISTA DIURNO</v>
          </cell>
          <cell r="G40">
            <v>200</v>
          </cell>
          <cell r="L40">
            <v>8</v>
          </cell>
          <cell r="M40">
            <v>22</v>
          </cell>
          <cell r="N40">
            <v>24</v>
          </cell>
          <cell r="O40">
            <v>6</v>
          </cell>
          <cell r="R40">
            <v>12851.65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12851.65</v>
          </cell>
          <cell r="AA40">
            <v>0.81799999999999995</v>
          </cell>
          <cell r="AB40">
            <v>10512.6497</v>
          </cell>
          <cell r="AC40">
            <v>0</v>
          </cell>
          <cell r="AD40">
            <v>0</v>
          </cell>
          <cell r="AE40">
            <v>0</v>
          </cell>
          <cell r="AF40">
            <v>9.6</v>
          </cell>
          <cell r="AG40">
            <v>0</v>
          </cell>
          <cell r="AH40">
            <v>0</v>
          </cell>
          <cell r="AI40">
            <v>0</v>
          </cell>
          <cell r="AJ40">
            <v>7.0000000000000007E-2</v>
          </cell>
          <cell r="AK40">
            <v>1674.7838589999999</v>
          </cell>
          <cell r="AL40">
            <v>25048.68</v>
          </cell>
          <cell r="AM40">
            <v>181.81818181818184</v>
          </cell>
          <cell r="AN40">
            <v>551.58000000000004</v>
          </cell>
        </row>
        <row r="41">
          <cell r="A41">
            <v>1158</v>
          </cell>
          <cell r="B41" t="str">
            <v>ASSESSOR ORGANIZACIONAL II</v>
          </cell>
          <cell r="C41">
            <v>40</v>
          </cell>
          <cell r="D41">
            <v>200</v>
          </cell>
          <cell r="E41" t="str">
            <v>DIARISTA DIURNO</v>
          </cell>
          <cell r="F41" t="str">
            <v>ASSESSOR ORGANIZACIONAL II - DIARISTA DIURNO</v>
          </cell>
          <cell r="G41">
            <v>200</v>
          </cell>
          <cell r="L41">
            <v>8</v>
          </cell>
          <cell r="M41">
            <v>22</v>
          </cell>
          <cell r="N41">
            <v>24</v>
          </cell>
          <cell r="O41">
            <v>6</v>
          </cell>
          <cell r="R41">
            <v>9494.1506148119133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9494.1506148119133</v>
          </cell>
          <cell r="AA41">
            <v>0.81799999999999995</v>
          </cell>
          <cell r="AB41">
            <v>7766.2152029161443</v>
          </cell>
          <cell r="AC41">
            <v>0</v>
          </cell>
          <cell r="AD41">
            <v>0</v>
          </cell>
          <cell r="AE41">
            <v>0</v>
          </cell>
          <cell r="AF41">
            <v>9.6</v>
          </cell>
          <cell r="AG41">
            <v>0</v>
          </cell>
          <cell r="AH41">
            <v>0</v>
          </cell>
          <cell r="AI41">
            <v>0</v>
          </cell>
          <cell r="AJ41">
            <v>7.0000000000000007E-2</v>
          </cell>
          <cell r="AK41">
            <v>1247.5082072409643</v>
          </cell>
          <cell r="AL41">
            <v>18517.47</v>
          </cell>
          <cell r="AM41">
            <v>181.81818181818184</v>
          </cell>
          <cell r="AN41">
            <v>551.58000000000004</v>
          </cell>
        </row>
        <row r="42">
          <cell r="A42">
            <v>370</v>
          </cell>
          <cell r="B42" t="str">
            <v>ASSESSOR ORGANIZACIONAL</v>
          </cell>
          <cell r="C42">
            <v>40</v>
          </cell>
          <cell r="D42">
            <v>200</v>
          </cell>
          <cell r="E42" t="str">
            <v>DIARISTA DIURNO</v>
          </cell>
          <cell r="F42" t="str">
            <v>ASSESSOR ORGANIZACIONAL - DIARISTA DIURNO</v>
          </cell>
          <cell r="G42">
            <v>200</v>
          </cell>
          <cell r="L42">
            <v>8</v>
          </cell>
          <cell r="M42">
            <v>22</v>
          </cell>
          <cell r="N42">
            <v>24</v>
          </cell>
          <cell r="O42">
            <v>6</v>
          </cell>
          <cell r="R42">
            <v>10817.896999999997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10817.896999999997</v>
          </cell>
          <cell r="AA42">
            <v>0.81799999999999995</v>
          </cell>
          <cell r="AB42">
            <v>8849.0397459999967</v>
          </cell>
          <cell r="AC42">
            <v>0</v>
          </cell>
          <cell r="AD42">
            <v>0</v>
          </cell>
          <cell r="AE42">
            <v>0</v>
          </cell>
          <cell r="AF42">
            <v>9.6</v>
          </cell>
          <cell r="AG42">
            <v>0</v>
          </cell>
          <cell r="AH42">
            <v>0</v>
          </cell>
          <cell r="AI42">
            <v>0</v>
          </cell>
          <cell r="AJ42">
            <v>7.0000000000000007E-2</v>
          </cell>
          <cell r="AK42">
            <v>1415.9681722199996</v>
          </cell>
          <cell r="AL42">
            <v>21092.5</v>
          </cell>
          <cell r="AM42">
            <v>181.81818181818184</v>
          </cell>
          <cell r="AN42">
            <v>551.58000000000004</v>
          </cell>
        </row>
        <row r="43">
          <cell r="A43">
            <v>1159</v>
          </cell>
          <cell r="B43" t="str">
            <v>ASSESSOR TÉCNICO II</v>
          </cell>
          <cell r="C43">
            <v>40</v>
          </cell>
          <cell r="D43">
            <v>200</v>
          </cell>
          <cell r="E43" t="str">
            <v>DIARISTA DIURNO</v>
          </cell>
          <cell r="F43" t="str">
            <v>ASSESSOR TÉCNICO II - DIARISTA DIURNO</v>
          </cell>
          <cell r="G43">
            <v>200</v>
          </cell>
          <cell r="L43">
            <v>8</v>
          </cell>
          <cell r="M43">
            <v>22</v>
          </cell>
          <cell r="N43">
            <v>24</v>
          </cell>
          <cell r="O43">
            <v>6</v>
          </cell>
          <cell r="R43">
            <v>6201.6076058558401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6201.6076058558401</v>
          </cell>
          <cell r="AA43">
            <v>0.81799999999999995</v>
          </cell>
          <cell r="AB43">
            <v>5072.9150215900772</v>
          </cell>
          <cell r="AC43">
            <v>0</v>
          </cell>
          <cell r="AD43">
            <v>0</v>
          </cell>
          <cell r="AE43">
            <v>0</v>
          </cell>
          <cell r="AF43">
            <v>9.6</v>
          </cell>
          <cell r="AG43">
            <v>16.496445536445535</v>
          </cell>
          <cell r="AH43">
            <v>0</v>
          </cell>
          <cell r="AI43">
            <v>0</v>
          </cell>
          <cell r="AJ43">
            <v>7.0000000000000007E-2</v>
          </cell>
          <cell r="AK43">
            <v>829.56902700065746</v>
          </cell>
          <cell r="AL43">
            <v>12130.18</v>
          </cell>
          <cell r="AM43">
            <v>181.81818181818184</v>
          </cell>
          <cell r="AN43">
            <v>550.36</v>
          </cell>
        </row>
        <row r="44">
          <cell r="A44">
            <v>366</v>
          </cell>
          <cell r="B44" t="str">
            <v>ASSESSOR TÉCNICO</v>
          </cell>
          <cell r="C44">
            <v>40</v>
          </cell>
          <cell r="D44">
            <v>200</v>
          </cell>
          <cell r="E44" t="str">
            <v>DIARISTA DIURNO</v>
          </cell>
          <cell r="F44" t="str">
            <v>ASSESSOR TÉCNICO - DIARISTA DIURNO</v>
          </cell>
          <cell r="G44">
            <v>200</v>
          </cell>
          <cell r="L44">
            <v>8</v>
          </cell>
          <cell r="M44">
            <v>22</v>
          </cell>
          <cell r="N44">
            <v>24</v>
          </cell>
          <cell r="O44">
            <v>6</v>
          </cell>
          <cell r="R44">
            <v>7205.3781883840929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7205.3781883840929</v>
          </cell>
          <cell r="AA44">
            <v>0.81799999999999995</v>
          </cell>
          <cell r="AB44">
            <v>5893.9993580981873</v>
          </cell>
          <cell r="AC44">
            <v>0</v>
          </cell>
          <cell r="AD44">
            <v>0</v>
          </cell>
          <cell r="AE44">
            <v>0</v>
          </cell>
          <cell r="AF44">
            <v>9.6</v>
          </cell>
          <cell r="AG44">
            <v>14.875206611570242</v>
          </cell>
          <cell r="AH44">
            <v>0</v>
          </cell>
          <cell r="AI44">
            <v>0</v>
          </cell>
          <cell r="AJ44">
            <v>7.0000000000000007E-2</v>
          </cell>
          <cell r="AK44">
            <v>957.20357908020594</v>
          </cell>
          <cell r="AL44">
            <v>14081.05</v>
          </cell>
          <cell r="AM44">
            <v>181.81818181818184</v>
          </cell>
          <cell r="AN44">
            <v>550.48</v>
          </cell>
        </row>
        <row r="45">
          <cell r="A45">
            <v>1161</v>
          </cell>
          <cell r="B45" t="str">
            <v>ASSISTENTE ADMINISTRATIVO II</v>
          </cell>
          <cell r="C45">
            <v>40</v>
          </cell>
          <cell r="D45">
            <v>200</v>
          </cell>
          <cell r="E45" t="str">
            <v>DIARISTA DIURNO</v>
          </cell>
          <cell r="F45" t="str">
            <v>ASSISTENTE ADMINISTRATIVO II - DIARISTA DIURNO</v>
          </cell>
          <cell r="G45">
            <v>200</v>
          </cell>
          <cell r="L45">
            <v>8</v>
          </cell>
          <cell r="M45">
            <v>22</v>
          </cell>
          <cell r="N45">
            <v>24</v>
          </cell>
          <cell r="O45">
            <v>6</v>
          </cell>
          <cell r="R45">
            <v>4393.3870571428588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4393.3870571428588</v>
          </cell>
          <cell r="AA45">
            <v>0.81799999999999995</v>
          </cell>
          <cell r="AB45">
            <v>3593.7906127428582</v>
          </cell>
          <cell r="AC45">
            <v>0</v>
          </cell>
          <cell r="AD45">
            <v>0</v>
          </cell>
          <cell r="AE45">
            <v>0</v>
          </cell>
          <cell r="AF45">
            <v>8.4353031497142883</v>
          </cell>
          <cell r="AG45">
            <v>103.59294705294708</v>
          </cell>
          <cell r="AH45">
            <v>0</v>
          </cell>
          <cell r="AI45">
            <v>0</v>
          </cell>
          <cell r="AJ45">
            <v>7.0000000000000007E-2</v>
          </cell>
          <cell r="AK45">
            <v>606.02498363695588</v>
          </cell>
          <cell r="AL45">
            <v>8705.23</v>
          </cell>
          <cell r="AM45">
            <v>181.81818181818184</v>
          </cell>
          <cell r="AN45">
            <v>558.29</v>
          </cell>
        </row>
        <row r="46">
          <cell r="A46">
            <v>362</v>
          </cell>
          <cell r="B46" t="str">
            <v>ASSISTENTE ADMINISTRATIVO</v>
          </cell>
          <cell r="C46">
            <v>40</v>
          </cell>
          <cell r="D46">
            <v>200</v>
          </cell>
          <cell r="E46" t="str">
            <v>DIARISTA DIURNO</v>
          </cell>
          <cell r="F46" t="str">
            <v>ASSISTENTE ADMINISTRATIVO - DIARISTA DIURNO</v>
          </cell>
          <cell r="G46">
            <v>200</v>
          </cell>
          <cell r="L46">
            <v>8</v>
          </cell>
          <cell r="M46">
            <v>22</v>
          </cell>
          <cell r="N46">
            <v>24</v>
          </cell>
          <cell r="O46">
            <v>6</v>
          </cell>
          <cell r="R46">
            <v>5505.5052428571425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5505.5052428571425</v>
          </cell>
          <cell r="AA46">
            <v>0.81799999999999995</v>
          </cell>
          <cell r="AB46">
            <v>4503.5032886571425</v>
          </cell>
          <cell r="AC46">
            <v>0</v>
          </cell>
          <cell r="AD46">
            <v>0</v>
          </cell>
          <cell r="AE46">
            <v>0</v>
          </cell>
          <cell r="AF46">
            <v>9.6</v>
          </cell>
          <cell r="AG46">
            <v>70.349350649350654</v>
          </cell>
          <cell r="AH46">
            <v>0</v>
          </cell>
          <cell r="AI46">
            <v>0</v>
          </cell>
          <cell r="AJ46">
            <v>7.0000000000000007E-2</v>
          </cell>
          <cell r="AK46">
            <v>745.24075175145458</v>
          </cell>
          <cell r="AL46">
            <v>10834.19</v>
          </cell>
          <cell r="AM46">
            <v>181.81818181818184</v>
          </cell>
          <cell r="AN46">
            <v>557.33000000000004</v>
          </cell>
        </row>
        <row r="47">
          <cell r="A47">
            <v>224</v>
          </cell>
          <cell r="B47" t="str">
            <v>ASSISTENTE DE LOGÍSTICA</v>
          </cell>
          <cell r="C47">
            <v>44</v>
          </cell>
          <cell r="D47">
            <v>210</v>
          </cell>
          <cell r="E47" t="str">
            <v>12x36 DIURNO</v>
          </cell>
          <cell r="F47" t="str">
            <v>ASSISTENTE DE LOGÍSTICA - 12x36 DIURNO - 44H</v>
          </cell>
          <cell r="G47">
            <v>210</v>
          </cell>
          <cell r="L47">
            <v>12</v>
          </cell>
          <cell r="M47">
            <v>15.22</v>
          </cell>
          <cell r="N47">
            <v>24</v>
          </cell>
          <cell r="O47">
            <v>6</v>
          </cell>
          <cell r="R47">
            <v>2540.3858688636356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3.5283137067550494</v>
          </cell>
          <cell r="Z47">
            <v>2543.9141825703905</v>
          </cell>
          <cell r="AA47">
            <v>0.81799999999999995</v>
          </cell>
          <cell r="AB47">
            <v>2080.9218013425793</v>
          </cell>
          <cell r="AC47">
            <v>20.923636363636362</v>
          </cell>
          <cell r="AD47">
            <v>24.556898071625341</v>
          </cell>
          <cell r="AE47">
            <v>45.480534435261703</v>
          </cell>
          <cell r="AF47">
            <v>4.8775408682181798</v>
          </cell>
          <cell r="AG47">
            <v>340.84801090909087</v>
          </cell>
          <cell r="AH47">
            <v>0</v>
          </cell>
          <cell r="AI47">
            <v>0</v>
          </cell>
          <cell r="AJ47">
            <v>7.0000000000000007E-2</v>
          </cell>
          <cell r="AK47">
            <v>389.64786490878799</v>
          </cell>
          <cell r="AL47">
            <v>5405.68</v>
          </cell>
          <cell r="AM47">
            <v>200.00000000000003</v>
          </cell>
          <cell r="AN47">
            <v>550.35</v>
          </cell>
        </row>
        <row r="48">
          <cell r="A48">
            <v>416</v>
          </cell>
          <cell r="B48" t="str">
            <v>ASSISTENTE DE LOGÍSTICA</v>
          </cell>
          <cell r="C48">
            <v>40</v>
          </cell>
          <cell r="D48">
            <v>200</v>
          </cell>
          <cell r="E48" t="str">
            <v>DIARISTA DIURNO</v>
          </cell>
          <cell r="F48" t="str">
            <v>ASSISTENTE DE LOGÍSTICA - (PERIC.) - DIARISTA DIURNO - 40H</v>
          </cell>
          <cell r="G48">
            <v>200</v>
          </cell>
          <cell r="I48" t="str">
            <v>X</v>
          </cell>
          <cell r="L48">
            <v>8</v>
          </cell>
          <cell r="M48">
            <v>22</v>
          </cell>
          <cell r="N48">
            <v>24</v>
          </cell>
          <cell r="O48">
            <v>6</v>
          </cell>
          <cell r="R48">
            <v>2309.4416989669417</v>
          </cell>
          <cell r="S48">
            <v>692.83250969008247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3002.2742086570242</v>
          </cell>
          <cell r="AA48">
            <v>0.81799999999999995</v>
          </cell>
          <cell r="AB48">
            <v>2455.8603026814458</v>
          </cell>
          <cell r="AC48">
            <v>20.923636363636362</v>
          </cell>
          <cell r="AD48">
            <v>24.556898071625341</v>
          </cell>
          <cell r="AE48">
            <v>45.480534435261703</v>
          </cell>
          <cell r="AF48">
            <v>4.4341280620165273</v>
          </cell>
          <cell r="AG48">
            <v>350.84615966942147</v>
          </cell>
          <cell r="AH48">
            <v>0</v>
          </cell>
          <cell r="AI48">
            <v>0</v>
          </cell>
          <cell r="AJ48">
            <v>7.0000000000000007E-2</v>
          </cell>
          <cell r="AK48">
            <v>448.64759334536205</v>
          </cell>
          <cell r="AL48">
            <v>6307.54</v>
          </cell>
          <cell r="AM48">
            <v>181.81818181818184</v>
          </cell>
          <cell r="AN48">
            <v>550.35</v>
          </cell>
        </row>
        <row r="49">
          <cell r="A49">
            <v>221</v>
          </cell>
          <cell r="B49" t="str">
            <v>ASSISTENTE DE LOGÍSTICA</v>
          </cell>
          <cell r="C49">
            <v>40</v>
          </cell>
          <cell r="D49">
            <v>200</v>
          </cell>
          <cell r="E49" t="str">
            <v>DIARISTA DIURNO</v>
          </cell>
          <cell r="F49" t="str">
            <v>ASSISTENTE DE LOGÍSTICA - DIARISTA DIURNO - 40H</v>
          </cell>
          <cell r="G49">
            <v>200</v>
          </cell>
          <cell r="L49">
            <v>8</v>
          </cell>
          <cell r="M49">
            <v>22</v>
          </cell>
          <cell r="N49">
            <v>24</v>
          </cell>
          <cell r="O49">
            <v>6</v>
          </cell>
          <cell r="R49">
            <v>2309.4416989669417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2309.4416989669417</v>
          </cell>
          <cell r="AA49">
            <v>0.81799999999999995</v>
          </cell>
          <cell r="AB49">
            <v>1889.1233097549582</v>
          </cell>
          <cell r="AC49">
            <v>20.923636363636362</v>
          </cell>
          <cell r="AD49">
            <v>24.556898071625341</v>
          </cell>
          <cell r="AE49">
            <v>45.480534435261703</v>
          </cell>
          <cell r="AF49">
            <v>4.4341280620165273</v>
          </cell>
          <cell r="AG49">
            <v>350.84615966942147</v>
          </cell>
          <cell r="AH49">
            <v>0</v>
          </cell>
          <cell r="AI49">
            <v>0</v>
          </cell>
          <cell r="AJ49">
            <v>7.0000000000000007E-2</v>
          </cell>
          <cell r="AK49">
            <v>360.47772816220214</v>
          </cell>
          <cell r="AL49">
            <v>4959.8</v>
          </cell>
          <cell r="AM49">
            <v>181.81818181818184</v>
          </cell>
          <cell r="AN49">
            <v>550.35</v>
          </cell>
        </row>
        <row r="50">
          <cell r="A50">
            <v>220</v>
          </cell>
          <cell r="B50" t="str">
            <v>ASSISTENTE DE LOGÍSTICA</v>
          </cell>
          <cell r="C50">
            <v>44</v>
          </cell>
          <cell r="D50">
            <v>220</v>
          </cell>
          <cell r="E50" t="str">
            <v>DIARISTA DIURNO</v>
          </cell>
          <cell r="F50" t="str">
            <v>ASSISTENTE DE LOGÍSTICA - DIARISTA DIURNO - 44H</v>
          </cell>
          <cell r="G50">
            <v>220</v>
          </cell>
          <cell r="L50">
            <v>8</v>
          </cell>
          <cell r="M50">
            <v>22</v>
          </cell>
          <cell r="N50">
            <v>24</v>
          </cell>
          <cell r="O50">
            <v>6</v>
          </cell>
          <cell r="R50">
            <v>2540.3858688636356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2540.3858688636356</v>
          </cell>
          <cell r="AA50">
            <v>0.81799999999999995</v>
          </cell>
          <cell r="AB50">
            <v>2078.0356407304539</v>
          </cell>
          <cell r="AC50">
            <v>20.923636363636362</v>
          </cell>
          <cell r="AD50">
            <v>24.556898071625341</v>
          </cell>
          <cell r="AE50">
            <v>45.480534435261703</v>
          </cell>
          <cell r="AF50">
            <v>4.8775408682181798</v>
          </cell>
          <cell r="AG50">
            <v>340.84801090909087</v>
          </cell>
          <cell r="AH50">
            <v>0</v>
          </cell>
          <cell r="AI50">
            <v>0</v>
          </cell>
          <cell r="AJ50">
            <v>7.0000000000000007E-2</v>
          </cell>
          <cell r="AK50">
            <v>389.19885170646631</v>
          </cell>
          <cell r="AL50">
            <v>5398.82</v>
          </cell>
          <cell r="AM50">
            <v>200.00000000000003</v>
          </cell>
          <cell r="AN50">
            <v>550.35</v>
          </cell>
        </row>
        <row r="51">
          <cell r="A51">
            <v>1163</v>
          </cell>
          <cell r="B51" t="str">
            <v>ASSISTENTE OPERACIONAL II</v>
          </cell>
          <cell r="C51">
            <v>40</v>
          </cell>
          <cell r="D51">
            <v>200</v>
          </cell>
          <cell r="E51" t="str">
            <v>DIARISTA DIURNO</v>
          </cell>
          <cell r="F51" t="str">
            <v>ASSISTENTE OPERACIONAL II - DIARISTA DIURNO</v>
          </cell>
          <cell r="G51">
            <v>200</v>
          </cell>
          <cell r="L51">
            <v>8</v>
          </cell>
          <cell r="M51">
            <v>22</v>
          </cell>
          <cell r="N51">
            <v>24</v>
          </cell>
          <cell r="O51">
            <v>6</v>
          </cell>
          <cell r="R51">
            <v>2551.1899999999991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2551.1899999999991</v>
          </cell>
          <cell r="AA51">
            <v>0.81799999999999995</v>
          </cell>
          <cell r="AB51">
            <v>2086.873419999999</v>
          </cell>
          <cell r="AC51">
            <v>0</v>
          </cell>
          <cell r="AD51">
            <v>0</v>
          </cell>
          <cell r="AE51">
            <v>0</v>
          </cell>
          <cell r="AF51">
            <v>4.8982847999999981</v>
          </cell>
          <cell r="AG51">
            <v>185.5367950693373</v>
          </cell>
          <cell r="AH51">
            <v>0</v>
          </cell>
          <cell r="AI51">
            <v>0</v>
          </cell>
          <cell r="AJ51">
            <v>7.0000000000000007E-2</v>
          </cell>
          <cell r="AK51">
            <v>376.60549499085357</v>
          </cell>
          <cell r="AL51">
            <v>5205.1000000000004</v>
          </cell>
          <cell r="AM51">
            <v>181.81818181818184</v>
          </cell>
          <cell r="AN51">
            <v>551.58000000000004</v>
          </cell>
        </row>
        <row r="52">
          <cell r="A52">
            <v>358</v>
          </cell>
          <cell r="B52" t="str">
            <v>ASSISTENTE OPERACIONAL</v>
          </cell>
          <cell r="C52">
            <v>40</v>
          </cell>
          <cell r="D52">
            <v>200</v>
          </cell>
          <cell r="E52" t="str">
            <v>DIARISTA DIURNO</v>
          </cell>
          <cell r="F52" t="str">
            <v>ASSISTENTE OPERACIONAL - DIARISTA DIURNO</v>
          </cell>
          <cell r="G52">
            <v>200</v>
          </cell>
          <cell r="L52">
            <v>8</v>
          </cell>
          <cell r="M52">
            <v>22</v>
          </cell>
          <cell r="N52">
            <v>24</v>
          </cell>
          <cell r="O52">
            <v>6</v>
          </cell>
          <cell r="R52">
            <v>3594.5545791666673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3594.5545791666673</v>
          </cell>
          <cell r="AA52">
            <v>0.81799999999999995</v>
          </cell>
          <cell r="AB52">
            <v>2940.3456457583338</v>
          </cell>
          <cell r="AC52">
            <v>0</v>
          </cell>
          <cell r="AD52">
            <v>0</v>
          </cell>
          <cell r="AE52">
            <v>0</v>
          </cell>
          <cell r="AF52">
            <v>6.9015447920000002</v>
          </cell>
          <cell r="AG52">
            <v>113.06681818181822</v>
          </cell>
          <cell r="AH52">
            <v>0</v>
          </cell>
          <cell r="AI52">
            <v>0</v>
          </cell>
          <cell r="AJ52">
            <v>7.0000000000000007E-2</v>
          </cell>
          <cell r="AK52">
            <v>504.69039281958402</v>
          </cell>
          <cell r="AL52">
            <v>7159.55</v>
          </cell>
          <cell r="AM52">
            <v>181.81818181818184</v>
          </cell>
          <cell r="AN52">
            <v>554.99</v>
          </cell>
        </row>
        <row r="53">
          <cell r="A53" t="str">
            <v>B</v>
          </cell>
          <cell r="B53" t="str">
            <v>AUXILIAR DE APOIO AO EDUCANDO</v>
          </cell>
          <cell r="C53">
            <v>40</v>
          </cell>
          <cell r="D53">
            <v>200</v>
          </cell>
          <cell r="E53" t="str">
            <v>DIARISTA DIURNO</v>
          </cell>
          <cell r="F53" t="str">
            <v>AUXILIAR DE APOIO AO EDUCANDO - DIARISTA DIURNO - 40H</v>
          </cell>
          <cell r="G53">
            <v>200</v>
          </cell>
          <cell r="L53">
            <v>8</v>
          </cell>
          <cell r="M53">
            <v>22</v>
          </cell>
          <cell r="N53">
            <v>24</v>
          </cell>
          <cell r="O53">
            <v>6</v>
          </cell>
          <cell r="R53">
            <v>1978.2931818181819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1978.2931818181819</v>
          </cell>
          <cell r="AA53">
            <v>0.81799999999999995</v>
          </cell>
          <cell r="AB53">
            <v>1618.2438227272728</v>
          </cell>
          <cell r="AC53">
            <v>9.27</v>
          </cell>
          <cell r="AD53">
            <v>0</v>
          </cell>
          <cell r="AE53">
            <v>9.27</v>
          </cell>
          <cell r="AF53">
            <v>3.798322909090909</v>
          </cell>
          <cell r="AG53">
            <v>431.30240909090912</v>
          </cell>
          <cell r="AH53">
            <v>0</v>
          </cell>
          <cell r="AI53">
            <v>0</v>
          </cell>
          <cell r="AJ53">
            <v>7.0000000000000007E-2</v>
          </cell>
          <cell r="AK53">
            <v>321.47442155818186</v>
          </cell>
          <cell r="AL53">
            <v>4362.38</v>
          </cell>
          <cell r="AM53">
            <v>181.81818181818184</v>
          </cell>
          <cell r="AN53">
            <v>551.58000000000004</v>
          </cell>
        </row>
        <row r="54">
          <cell r="A54">
            <v>279</v>
          </cell>
          <cell r="B54" t="str">
            <v>AUXILIAR DE LIMPEZA</v>
          </cell>
          <cell r="C54">
            <v>44</v>
          </cell>
          <cell r="D54">
            <v>210</v>
          </cell>
          <cell r="E54" t="str">
            <v>12x36 DIURNO</v>
          </cell>
          <cell r="F54" t="str">
            <v>AUXILIAR DE LIMPEZA - 12x36 DIURNO - 44H</v>
          </cell>
          <cell r="G54">
            <v>210</v>
          </cell>
          <cell r="L54">
            <v>12</v>
          </cell>
          <cell r="M54">
            <v>15.22</v>
          </cell>
          <cell r="N54">
            <v>24</v>
          </cell>
          <cell r="O54">
            <v>6</v>
          </cell>
          <cell r="R54">
            <v>1794.7362817701783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2.4926892802363585</v>
          </cell>
          <cell r="Z54">
            <v>1797.2289710504147</v>
          </cell>
          <cell r="AA54">
            <v>0.81799999999999995</v>
          </cell>
          <cell r="AB54">
            <v>1470.1332983192392</v>
          </cell>
          <cell r="AC54">
            <v>26.905000000000001</v>
          </cell>
          <cell r="AD54">
            <v>43.982906556598273</v>
          </cell>
          <cell r="AE54">
            <v>70.887906556598267</v>
          </cell>
          <cell r="AF54">
            <v>3.4458936609987418</v>
          </cell>
          <cell r="AG54">
            <v>208.70493990461293</v>
          </cell>
          <cell r="AH54">
            <v>3.4323193950865784E-2</v>
          </cell>
          <cell r="AI54">
            <v>140.6846541255745</v>
          </cell>
          <cell r="AJ54">
            <v>7.0000000000000007E-2</v>
          </cell>
          <cell r="AK54">
            <v>296.7654487584673</v>
          </cell>
          <cell r="AL54">
            <v>3987.85</v>
          </cell>
          <cell r="AM54">
            <v>200.00000000000003</v>
          </cell>
          <cell r="AN54">
            <v>548.41999999999996</v>
          </cell>
        </row>
        <row r="55">
          <cell r="A55">
            <v>280</v>
          </cell>
          <cell r="B55" t="str">
            <v>AUXILIAR DE LIMPEZA</v>
          </cell>
          <cell r="C55">
            <v>44</v>
          </cell>
          <cell r="D55">
            <v>210</v>
          </cell>
          <cell r="E55" t="str">
            <v>12x36 NOTURNO</v>
          </cell>
          <cell r="F55" t="str">
            <v>AUXILIAR DE LIMPEZA - 12x36 NOTURNO - 44H</v>
          </cell>
          <cell r="G55">
            <v>210</v>
          </cell>
          <cell r="L55">
            <v>12</v>
          </cell>
          <cell r="M55">
            <v>15.22</v>
          </cell>
          <cell r="N55">
            <v>24</v>
          </cell>
          <cell r="O55">
            <v>6</v>
          </cell>
          <cell r="P55">
            <v>7</v>
          </cell>
          <cell r="Q55">
            <v>2</v>
          </cell>
          <cell r="R55">
            <v>1794.7362817701783</v>
          </cell>
          <cell r="S55">
            <v>0</v>
          </cell>
          <cell r="T55">
            <v>418.10079159950112</v>
          </cell>
          <cell r="U55">
            <v>9.1264983788791074</v>
          </cell>
          <cell r="V55">
            <v>34.224358653485965</v>
          </cell>
          <cell r="W55">
            <v>0</v>
          </cell>
          <cell r="X55">
            <v>0</v>
          </cell>
          <cell r="Y55">
            <v>2.4926892802363585</v>
          </cell>
          <cell r="Z55">
            <v>2258.6806196822808</v>
          </cell>
          <cell r="AA55">
            <v>0.81799999999999995</v>
          </cell>
          <cell r="AB55">
            <v>1847.6007469001056</v>
          </cell>
          <cell r="AC55">
            <v>26.905000000000001</v>
          </cell>
          <cell r="AD55">
            <v>43.982906556598273</v>
          </cell>
          <cell r="AE55">
            <v>70.887906556598267</v>
          </cell>
          <cell r="AF55">
            <v>3.4458936609987418</v>
          </cell>
          <cell r="AG55">
            <v>208.70493990461293</v>
          </cell>
          <cell r="AH55">
            <v>3.4323193950865784E-2</v>
          </cell>
          <cell r="AI55">
            <v>169.47903700829235</v>
          </cell>
          <cell r="AJ55">
            <v>7.0000000000000007E-2</v>
          </cell>
          <cell r="AK55">
            <v>357.50539236514885</v>
          </cell>
          <cell r="AL55">
            <v>4916.3</v>
          </cell>
          <cell r="AM55">
            <v>200.00000000000003</v>
          </cell>
          <cell r="AN55">
            <v>548.41999999999996</v>
          </cell>
        </row>
        <row r="56">
          <cell r="A56">
            <v>275</v>
          </cell>
          <cell r="B56" t="str">
            <v>AUXILIAR DE LIMPEZA</v>
          </cell>
          <cell r="C56">
            <v>22</v>
          </cell>
          <cell r="D56">
            <v>110</v>
          </cell>
          <cell r="E56" t="str">
            <v>DIARISTA DIURNO</v>
          </cell>
          <cell r="F56" t="str">
            <v>AUXILIAR DE LIMPEZA - DIARISTA DIURNO - 22H</v>
          </cell>
          <cell r="G56">
            <v>110</v>
          </cell>
          <cell r="L56">
            <v>4</v>
          </cell>
          <cell r="M56">
            <v>22</v>
          </cell>
          <cell r="N56">
            <v>24</v>
          </cell>
          <cell r="O56">
            <v>6</v>
          </cell>
          <cell r="R56">
            <v>897.36814088508913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897.36814088508913</v>
          </cell>
          <cell r="AA56">
            <v>0.81799999999999995</v>
          </cell>
          <cell r="AB56">
            <v>734.04713924400289</v>
          </cell>
          <cell r="AC56">
            <v>26.905000000000001</v>
          </cell>
          <cell r="AD56">
            <v>43.982906556598273</v>
          </cell>
          <cell r="AE56">
            <v>70.887906556598267</v>
          </cell>
          <cell r="AF56">
            <v>1.9427625599999998</v>
          </cell>
          <cell r="AG56">
            <v>249.58022726550217</v>
          </cell>
          <cell r="AH56">
            <v>3.4323193950865784E-2</v>
          </cell>
          <cell r="AI56">
            <v>85.885106476107751</v>
          </cell>
          <cell r="AJ56">
            <v>7.0000000000000007E-2</v>
          </cell>
          <cell r="AK56">
            <v>181.16924211435762</v>
          </cell>
          <cell r="AL56">
            <v>2220.88</v>
          </cell>
          <cell r="AM56">
            <v>100.00000000000001</v>
          </cell>
          <cell r="AN56">
            <v>548.41999999999996</v>
          </cell>
        </row>
        <row r="57">
          <cell r="A57">
            <v>274</v>
          </cell>
          <cell r="B57" t="str">
            <v>AUXILIAR DE LIMPEZA</v>
          </cell>
          <cell r="C57">
            <v>30</v>
          </cell>
          <cell r="D57">
            <v>150</v>
          </cell>
          <cell r="E57" t="str">
            <v>DIARISTA DIURNO</v>
          </cell>
          <cell r="F57" t="str">
            <v>AUXILIAR DE LIMPEZA - DIARISTA DIURNO - 30H</v>
          </cell>
          <cell r="G57">
            <v>150</v>
          </cell>
          <cell r="L57">
            <v>6</v>
          </cell>
          <cell r="M57">
            <v>22</v>
          </cell>
          <cell r="N57">
            <v>24</v>
          </cell>
          <cell r="O57">
            <v>6</v>
          </cell>
          <cell r="R57">
            <v>1223.683828479667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1223.683828479667</v>
          </cell>
          <cell r="AA57">
            <v>0.81799999999999995</v>
          </cell>
          <cell r="AB57">
            <v>1000.9733716963675</v>
          </cell>
          <cell r="AC57">
            <v>26.905000000000001</v>
          </cell>
          <cell r="AD57">
            <v>43.982906556598273</v>
          </cell>
          <cell r="AE57">
            <v>70.887906556598267</v>
          </cell>
          <cell r="AF57">
            <v>2.3494729506809606</v>
          </cell>
          <cell r="AG57">
            <v>234.71648640699698</v>
          </cell>
          <cell r="AH57">
            <v>3.4323193950865784E-2</v>
          </cell>
          <cell r="AI57">
            <v>105.75085249696228</v>
          </cell>
          <cell r="AJ57">
            <v>7.0000000000000007E-2</v>
          </cell>
          <cell r="AK57">
            <v>223.07478660635573</v>
          </cell>
          <cell r="AL57">
            <v>2861.43</v>
          </cell>
          <cell r="AM57">
            <v>136.36363636363637</v>
          </cell>
          <cell r="AN57">
            <v>548.41999999999996</v>
          </cell>
        </row>
        <row r="58">
          <cell r="A58">
            <v>1896</v>
          </cell>
          <cell r="B58" t="str">
            <v>AUXILIAR DE LIMPEZA</v>
          </cell>
          <cell r="C58">
            <v>36</v>
          </cell>
          <cell r="D58">
            <v>180</v>
          </cell>
          <cell r="E58" t="str">
            <v>DIARISTA DIURNO</v>
          </cell>
          <cell r="F58" t="str">
            <v>AUXILIAR DE LIMPEZA - DIARISTA DIURNO - 36H</v>
          </cell>
          <cell r="G58">
            <v>180</v>
          </cell>
          <cell r="L58">
            <v>6</v>
          </cell>
          <cell r="M58">
            <v>26</v>
          </cell>
          <cell r="N58">
            <v>24</v>
          </cell>
          <cell r="O58">
            <v>6</v>
          </cell>
          <cell r="R58">
            <v>1468.4205941756004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1468.4205941756004</v>
          </cell>
          <cell r="AA58">
            <v>0.81799999999999995</v>
          </cell>
          <cell r="AB58">
            <v>1201.1680460356411</v>
          </cell>
          <cell r="AC58">
            <v>26.905000000000001</v>
          </cell>
          <cell r="AD58">
            <v>43.982906556598273</v>
          </cell>
          <cell r="AE58">
            <v>70.887906556598267</v>
          </cell>
          <cell r="AF58">
            <v>2.8193675408171526</v>
          </cell>
          <cell r="AG58">
            <v>223.5686807631181</v>
          </cell>
          <cell r="AH58">
            <v>3.4323193950865784E-2</v>
          </cell>
          <cell r="AI58">
            <v>120.655820596041</v>
          </cell>
          <cell r="AJ58">
            <v>7.0000000000000007E-2</v>
          </cell>
          <cell r="AK58">
            <v>254.51588140199374</v>
          </cell>
          <cell r="AL58">
            <v>3342.03</v>
          </cell>
          <cell r="AM58">
            <v>163.63636363636365</v>
          </cell>
          <cell r="AN58">
            <v>648.13</v>
          </cell>
        </row>
        <row r="59">
          <cell r="A59">
            <v>1165</v>
          </cell>
          <cell r="B59" t="str">
            <v>AUXILIAR DE LIMPEZA</v>
          </cell>
          <cell r="C59">
            <v>40</v>
          </cell>
          <cell r="D59">
            <v>200</v>
          </cell>
          <cell r="E59" t="str">
            <v>DIARISTA DIURNO</v>
          </cell>
          <cell r="F59" t="str">
            <v>AUXILIAR DE LIMPEZA - (PERIC.) - DIARISTA DIURNO - 40H</v>
          </cell>
          <cell r="G59">
            <v>200</v>
          </cell>
          <cell r="I59" t="str">
            <v>X</v>
          </cell>
          <cell r="L59">
            <v>8</v>
          </cell>
          <cell r="M59">
            <v>22</v>
          </cell>
          <cell r="N59">
            <v>24</v>
          </cell>
          <cell r="O59">
            <v>6</v>
          </cell>
          <cell r="R59">
            <v>1631.5784379728893</v>
          </cell>
          <cell r="S59">
            <v>489.4735313918668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2121.0519693647561</v>
          </cell>
          <cell r="AA59">
            <v>0.81799999999999995</v>
          </cell>
          <cell r="AB59">
            <v>1735.0205109403705</v>
          </cell>
          <cell r="AC59">
            <v>26.905000000000001</v>
          </cell>
          <cell r="AD59">
            <v>43.982906556598273</v>
          </cell>
          <cell r="AE59">
            <v>70.887906556598267</v>
          </cell>
          <cell r="AF59">
            <v>3.1326306009079472</v>
          </cell>
          <cell r="AG59">
            <v>216.13681033386553</v>
          </cell>
          <cell r="AH59">
            <v>3.4323193950865784E-2</v>
          </cell>
          <cell r="AI59">
            <v>161.13540221775963</v>
          </cell>
          <cell r="AJ59">
            <v>7.0000000000000007E-2</v>
          </cell>
          <cell r="AK59">
            <v>339.90501840624466</v>
          </cell>
          <cell r="AL59">
            <v>4647.2700000000004</v>
          </cell>
          <cell r="AM59">
            <v>181.81818181818184</v>
          </cell>
          <cell r="AN59">
            <v>548.41999999999996</v>
          </cell>
        </row>
        <row r="60">
          <cell r="A60">
            <v>272</v>
          </cell>
          <cell r="B60" t="str">
            <v>AUXILIAR DE LIMPEZA</v>
          </cell>
          <cell r="C60">
            <v>40</v>
          </cell>
          <cell r="D60">
            <v>200</v>
          </cell>
          <cell r="E60" t="str">
            <v>DIARISTA DIURNO</v>
          </cell>
          <cell r="F60" t="str">
            <v>AUXILIAR DE LIMPEZA - DIARISTA DIURNO - 40H</v>
          </cell>
          <cell r="G60">
            <v>200</v>
          </cell>
          <cell r="L60">
            <v>8</v>
          </cell>
          <cell r="M60">
            <v>22</v>
          </cell>
          <cell r="N60">
            <v>24</v>
          </cell>
          <cell r="O60">
            <v>6</v>
          </cell>
          <cell r="R60">
            <v>1631.5784379728893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1631.5784379728893</v>
          </cell>
          <cell r="AA60">
            <v>0.81799999999999995</v>
          </cell>
          <cell r="AB60">
            <v>1334.6311622618234</v>
          </cell>
          <cell r="AC60">
            <v>26.905000000000001</v>
          </cell>
          <cell r="AD60">
            <v>43.982906556598273</v>
          </cell>
          <cell r="AE60">
            <v>70.887906556598267</v>
          </cell>
          <cell r="AF60">
            <v>3.1326306009079472</v>
          </cell>
          <cell r="AG60">
            <v>216.13681033386553</v>
          </cell>
          <cell r="AH60">
            <v>3.4323193950865784E-2</v>
          </cell>
          <cell r="AI60">
            <v>130.59246599542678</v>
          </cell>
          <cell r="AJ60">
            <v>7.0000000000000007E-2</v>
          </cell>
          <cell r="AK60">
            <v>275.47661126575241</v>
          </cell>
          <cell r="AL60">
            <v>3662.43</v>
          </cell>
          <cell r="AM60">
            <v>181.81818181818184</v>
          </cell>
          <cell r="AN60">
            <v>548.41999999999996</v>
          </cell>
        </row>
        <row r="61">
          <cell r="A61">
            <v>408</v>
          </cell>
          <cell r="B61" t="str">
            <v>AUXILIAR DE LIMPEZA</v>
          </cell>
          <cell r="C61">
            <v>44</v>
          </cell>
          <cell r="D61">
            <v>220</v>
          </cell>
          <cell r="E61" t="str">
            <v>DIARISTA DIURNO</v>
          </cell>
          <cell r="F61" t="str">
            <v>AUXILIAR DE LIMPEZA - (PERIC.) - DIARISTA DIURNO - 44H</v>
          </cell>
          <cell r="G61">
            <v>220</v>
          </cell>
          <cell r="I61" t="str">
            <v>X</v>
          </cell>
          <cell r="L61">
            <v>8</v>
          </cell>
          <cell r="M61">
            <v>22</v>
          </cell>
          <cell r="N61">
            <v>24</v>
          </cell>
          <cell r="O61">
            <v>6</v>
          </cell>
          <cell r="R61">
            <v>1794.7362817701783</v>
          </cell>
          <cell r="S61">
            <v>538.4208845310535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2333.1571663012319</v>
          </cell>
          <cell r="AA61">
            <v>0.81799999999999995</v>
          </cell>
          <cell r="AB61">
            <v>1908.5225620344077</v>
          </cell>
          <cell r="AC61">
            <v>26.905000000000001</v>
          </cell>
          <cell r="AD61">
            <v>43.982906556598273</v>
          </cell>
          <cell r="AE61">
            <v>70.887906556598267</v>
          </cell>
          <cell r="AF61">
            <v>3.4458936609987418</v>
          </cell>
          <cell r="AG61">
            <v>208.70493990461293</v>
          </cell>
          <cell r="AH61">
            <v>3.4323193950865784E-2</v>
          </cell>
          <cell r="AI61">
            <v>174.12634123937872</v>
          </cell>
          <cell r="AJ61">
            <v>7.0000000000000007E-2</v>
          </cell>
          <cell r="AK61">
            <v>367.30858898405262</v>
          </cell>
          <cell r="AL61">
            <v>5066.1499999999996</v>
          </cell>
          <cell r="AM61">
            <v>200.00000000000003</v>
          </cell>
          <cell r="AN61">
            <v>548.41999999999996</v>
          </cell>
        </row>
        <row r="62">
          <cell r="A62">
            <v>271</v>
          </cell>
          <cell r="B62" t="str">
            <v>AUXILIAR DE LIMPEZA</v>
          </cell>
          <cell r="C62">
            <v>44</v>
          </cell>
          <cell r="D62">
            <v>220</v>
          </cell>
          <cell r="E62" t="str">
            <v>DIARISTA DIURNO</v>
          </cell>
          <cell r="F62" t="str">
            <v>AUXILIAR DE LIMPEZA - DIARISTA DIURNO - 44H</v>
          </cell>
          <cell r="G62">
            <v>220</v>
          </cell>
          <cell r="L62">
            <v>8</v>
          </cell>
          <cell r="M62">
            <v>22</v>
          </cell>
          <cell r="N62">
            <v>24</v>
          </cell>
          <cell r="O62">
            <v>6</v>
          </cell>
          <cell r="R62">
            <v>1794.7362817701783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1794.7362817701783</v>
          </cell>
          <cell r="AA62">
            <v>0.81799999999999995</v>
          </cell>
          <cell r="AB62">
            <v>1468.0942784880058</v>
          </cell>
          <cell r="AC62">
            <v>26.905000000000001</v>
          </cell>
          <cell r="AD62">
            <v>43.982906556598273</v>
          </cell>
          <cell r="AE62">
            <v>70.887906556598267</v>
          </cell>
          <cell r="AF62">
            <v>3.4458936609987418</v>
          </cell>
          <cell r="AG62">
            <v>208.70493990461293</v>
          </cell>
          <cell r="AH62">
            <v>3.4323193950865784E-2</v>
          </cell>
          <cell r="AI62">
            <v>140.52911139481259</v>
          </cell>
          <cell r="AJ62">
            <v>7.0000000000000007E-2</v>
          </cell>
          <cell r="AK62">
            <v>296.43734112951108</v>
          </cell>
          <cell r="AL62">
            <v>3982.83</v>
          </cell>
          <cell r="AM62">
            <v>200.00000000000003</v>
          </cell>
          <cell r="AN62">
            <v>548.41999999999996</v>
          </cell>
        </row>
        <row r="63">
          <cell r="A63">
            <v>1166</v>
          </cell>
          <cell r="B63" t="str">
            <v>AUXILIAR DE SERVIÇOS</v>
          </cell>
          <cell r="C63">
            <v>44</v>
          </cell>
          <cell r="D63">
            <v>210</v>
          </cell>
          <cell r="E63" t="str">
            <v>12x36 DIURNO</v>
          </cell>
          <cell r="F63" t="str">
            <v>AUXILIAR DE SERVIÇOS - (PERIC.) - 12x36 DIURNO - 44H</v>
          </cell>
          <cell r="G63">
            <v>210</v>
          </cell>
          <cell r="I63" t="str">
            <v>X</v>
          </cell>
          <cell r="L63">
            <v>12</v>
          </cell>
          <cell r="M63">
            <v>15.22</v>
          </cell>
          <cell r="N63">
            <v>24</v>
          </cell>
          <cell r="O63">
            <v>6</v>
          </cell>
          <cell r="R63">
            <v>2007.4599342050217</v>
          </cell>
          <cell r="S63">
            <v>602.23798026150644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3.6245804367590675</v>
          </cell>
          <cell r="Z63">
            <v>2613.3224949032874</v>
          </cell>
          <cell r="AA63">
            <v>0.81799999999999995</v>
          </cell>
          <cell r="AB63">
            <v>2137.6978008308888</v>
          </cell>
          <cell r="AC63">
            <v>39.115656565656565</v>
          </cell>
          <cell r="AD63">
            <v>36.846229871941169</v>
          </cell>
          <cell r="AE63">
            <v>75.961886437597741</v>
          </cell>
          <cell r="AF63">
            <v>3.8543230736736414</v>
          </cell>
          <cell r="AG63">
            <v>252.91982259414209</v>
          </cell>
          <cell r="AH63">
            <v>0</v>
          </cell>
          <cell r="AI63">
            <v>0</v>
          </cell>
          <cell r="AJ63">
            <v>7.0000000000000007E-2</v>
          </cell>
          <cell r="AK63">
            <v>394.43410863914806</v>
          </cell>
          <cell r="AL63">
            <v>5478.19</v>
          </cell>
          <cell r="AM63">
            <v>200.00000000000003</v>
          </cell>
          <cell r="AN63">
            <v>551.01</v>
          </cell>
        </row>
        <row r="64">
          <cell r="A64">
            <v>239</v>
          </cell>
          <cell r="B64" t="str">
            <v>AUXILIAR DE SERVIÇOS</v>
          </cell>
          <cell r="C64">
            <v>44</v>
          </cell>
          <cell r="D64">
            <v>210</v>
          </cell>
          <cell r="E64" t="str">
            <v>12x36 DIURNO</v>
          </cell>
          <cell r="F64" t="str">
            <v>AUXILIAR DE SERVIÇOS - 12x36 DIURNO - 44H</v>
          </cell>
          <cell r="G64">
            <v>210</v>
          </cell>
          <cell r="L64">
            <v>12</v>
          </cell>
          <cell r="M64">
            <v>15.22</v>
          </cell>
          <cell r="N64">
            <v>24</v>
          </cell>
          <cell r="O64">
            <v>6</v>
          </cell>
          <cell r="R64">
            <v>2007.4599342050217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2.7881387975069747</v>
          </cell>
          <cell r="Z64">
            <v>2010.2480730025286</v>
          </cell>
          <cell r="AA64">
            <v>0.81799999999999995</v>
          </cell>
          <cell r="AB64">
            <v>1644.3829237160683</v>
          </cell>
          <cell r="AC64">
            <v>39.115656565656565</v>
          </cell>
          <cell r="AD64">
            <v>36.846229871941169</v>
          </cell>
          <cell r="AE64">
            <v>75.961886437597741</v>
          </cell>
          <cell r="AF64">
            <v>3.8543230736736414</v>
          </cell>
          <cell r="AG64">
            <v>252.91982259414209</v>
          </cell>
          <cell r="AH64">
            <v>0</v>
          </cell>
          <cell r="AI64">
            <v>0</v>
          </cell>
          <cell r="AJ64">
            <v>7.0000000000000007E-2</v>
          </cell>
          <cell r="AK64">
            <v>317.68685770805752</v>
          </cell>
          <cell r="AL64">
            <v>4305.05</v>
          </cell>
          <cell r="AM64">
            <v>200.00000000000003</v>
          </cell>
          <cell r="AN64">
            <v>551.01</v>
          </cell>
        </row>
        <row r="65">
          <cell r="A65">
            <v>240</v>
          </cell>
          <cell r="B65" t="str">
            <v>AUXILIAR DE SERVIÇOS</v>
          </cell>
          <cell r="C65">
            <v>44</v>
          </cell>
          <cell r="D65">
            <v>210</v>
          </cell>
          <cell r="E65" t="str">
            <v>12x36 NOTURNO</v>
          </cell>
          <cell r="F65" t="str">
            <v>AUXILIAR DE SERVIÇOS - 12x36 NOTURNO - 44H</v>
          </cell>
          <cell r="G65">
            <v>210</v>
          </cell>
          <cell r="L65">
            <v>12</v>
          </cell>
          <cell r="M65">
            <v>15.22</v>
          </cell>
          <cell r="N65">
            <v>24</v>
          </cell>
          <cell r="O65">
            <v>6</v>
          </cell>
          <cell r="P65">
            <v>7</v>
          </cell>
          <cell r="Q65">
            <v>2</v>
          </cell>
          <cell r="R65">
            <v>2007.4599342050217</v>
          </cell>
          <cell r="S65">
            <v>0</v>
          </cell>
          <cell r="T65">
            <v>467.65677839173458</v>
          </cell>
          <cell r="U65">
            <v>10.20822948824353</v>
          </cell>
          <cell r="V65">
            <v>38.280849096655068</v>
          </cell>
          <cell r="W65">
            <v>0</v>
          </cell>
          <cell r="X65">
            <v>0</v>
          </cell>
          <cell r="Y65">
            <v>2.7881387975069747</v>
          </cell>
          <cell r="Z65">
            <v>2526.3939299791618</v>
          </cell>
          <cell r="AA65">
            <v>0.81799999999999995</v>
          </cell>
          <cell r="AB65">
            <v>2066.5902347229544</v>
          </cell>
          <cell r="AC65">
            <v>39.115656565656565</v>
          </cell>
          <cell r="AD65">
            <v>36.846229871941169</v>
          </cell>
          <cell r="AE65">
            <v>75.961886437597741</v>
          </cell>
          <cell r="AF65">
            <v>3.8543230736736414</v>
          </cell>
          <cell r="AG65">
            <v>252.91982259414209</v>
          </cell>
          <cell r="AH65">
            <v>0</v>
          </cell>
          <cell r="AI65">
            <v>0</v>
          </cell>
          <cell r="AJ65">
            <v>7.0000000000000007E-2</v>
          </cell>
          <cell r="AK65">
            <v>383.37157946690388</v>
          </cell>
          <cell r="AL65">
            <v>5309.09</v>
          </cell>
          <cell r="AM65">
            <v>200.00000000000003</v>
          </cell>
          <cell r="AN65">
            <v>551.01</v>
          </cell>
        </row>
        <row r="66">
          <cell r="A66">
            <v>238</v>
          </cell>
          <cell r="B66" t="str">
            <v>AUXILIAR DE SERVIÇOS</v>
          </cell>
          <cell r="C66">
            <v>40</v>
          </cell>
          <cell r="D66">
            <v>200</v>
          </cell>
          <cell r="E66" t="str">
            <v>DIARISTA DIURNO</v>
          </cell>
          <cell r="F66" t="str">
            <v>AUXILIAR DE SERVIÇOS - DIARISTA DIURNO - 40H</v>
          </cell>
          <cell r="G66">
            <v>200</v>
          </cell>
          <cell r="L66">
            <v>8</v>
          </cell>
          <cell r="M66">
            <v>22</v>
          </cell>
          <cell r="N66">
            <v>24</v>
          </cell>
          <cell r="O66">
            <v>6</v>
          </cell>
          <cell r="R66">
            <v>1824.9635765500198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1824.9635765500198</v>
          </cell>
          <cell r="AA66">
            <v>0.81799999999999995</v>
          </cell>
          <cell r="AB66">
            <v>1492.8202056179161</v>
          </cell>
          <cell r="AC66">
            <v>39.115656565656565</v>
          </cell>
          <cell r="AD66">
            <v>36.846229871941169</v>
          </cell>
          <cell r="AE66">
            <v>75.961886437597741</v>
          </cell>
          <cell r="AF66">
            <v>3.5039300669760376</v>
          </cell>
          <cell r="AG66">
            <v>261.28721323697209</v>
          </cell>
          <cell r="AH66">
            <v>0</v>
          </cell>
          <cell r="AI66">
            <v>0</v>
          </cell>
          <cell r="AJ66">
            <v>7.0000000000000007E-2</v>
          </cell>
          <cell r="AK66">
            <v>294.66874252404045</v>
          </cell>
          <cell r="AL66">
            <v>3953.2</v>
          </cell>
          <cell r="AM66">
            <v>181.81818181818184</v>
          </cell>
          <cell r="AN66">
            <v>551.01</v>
          </cell>
        </row>
        <row r="67">
          <cell r="A67">
            <v>241</v>
          </cell>
          <cell r="B67" t="str">
            <v>AUXILIAR DE SERVIÇOS</v>
          </cell>
          <cell r="C67">
            <v>44</v>
          </cell>
          <cell r="D67">
            <v>220</v>
          </cell>
          <cell r="E67" t="str">
            <v>DIARISTA DIURNO</v>
          </cell>
          <cell r="F67" t="str">
            <v>AUXILIAR DE SERVIÇOS - (PERIC.) - DIARISTA DIURNO - 44H</v>
          </cell>
          <cell r="G67">
            <v>220</v>
          </cell>
          <cell r="I67" t="str">
            <v>X</v>
          </cell>
          <cell r="L67">
            <v>8</v>
          </cell>
          <cell r="M67">
            <v>22</v>
          </cell>
          <cell r="N67">
            <v>24</v>
          </cell>
          <cell r="O67">
            <v>6</v>
          </cell>
          <cell r="R67">
            <v>2007.4599342050217</v>
          </cell>
          <cell r="S67">
            <v>602.23798026150644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2609.6979144665283</v>
          </cell>
          <cell r="AA67">
            <v>0.81799999999999995</v>
          </cell>
          <cell r="AB67">
            <v>2134.7328940336201</v>
          </cell>
          <cell r="AC67">
            <v>39.115656565656565</v>
          </cell>
          <cell r="AD67">
            <v>36.846229871941169</v>
          </cell>
          <cell r="AE67">
            <v>75.961886437597741</v>
          </cell>
          <cell r="AF67">
            <v>3.8543230736736414</v>
          </cell>
          <cell r="AG67">
            <v>252.91982259414209</v>
          </cell>
          <cell r="AH67">
            <v>0</v>
          </cell>
          <cell r="AI67">
            <v>0</v>
          </cell>
          <cell r="AJ67">
            <v>7.0000000000000007E-2</v>
          </cell>
          <cell r="AK67">
            <v>393.97284453276609</v>
          </cell>
          <cell r="AL67">
            <v>5471.13</v>
          </cell>
          <cell r="AM67">
            <v>200.00000000000003</v>
          </cell>
          <cell r="AN67">
            <v>551.01</v>
          </cell>
        </row>
        <row r="68">
          <cell r="A68">
            <v>237</v>
          </cell>
          <cell r="B68" t="str">
            <v>AUXILIAR DE SERVIÇOS</v>
          </cell>
          <cell r="C68">
            <v>44</v>
          </cell>
          <cell r="D68">
            <v>220</v>
          </cell>
          <cell r="E68" t="str">
            <v>DIARISTA DIURNO</v>
          </cell>
          <cell r="F68" t="str">
            <v>AUXILIAR DE SERVIÇOS - DIARISTA DIURNO - 44H</v>
          </cell>
          <cell r="G68">
            <v>220</v>
          </cell>
          <cell r="L68">
            <v>8</v>
          </cell>
          <cell r="M68">
            <v>22</v>
          </cell>
          <cell r="N68">
            <v>24</v>
          </cell>
          <cell r="O68">
            <v>6</v>
          </cell>
          <cell r="R68">
            <v>2007.4599342050217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2007.4599342050217</v>
          </cell>
          <cell r="AA68">
            <v>0.81799999999999995</v>
          </cell>
          <cell r="AB68">
            <v>1642.1022261797077</v>
          </cell>
          <cell r="AC68">
            <v>39.115656565656565</v>
          </cell>
          <cell r="AD68">
            <v>36.846229871941169</v>
          </cell>
          <cell r="AE68">
            <v>75.961886437597741</v>
          </cell>
          <cell r="AF68">
            <v>3.8543230736736414</v>
          </cell>
          <cell r="AG68">
            <v>252.91982259414209</v>
          </cell>
          <cell r="AH68">
            <v>0</v>
          </cell>
          <cell r="AI68">
            <v>0</v>
          </cell>
          <cell r="AJ68">
            <v>7.0000000000000007E-2</v>
          </cell>
          <cell r="AK68">
            <v>317.33203916468676</v>
          </cell>
          <cell r="AL68">
            <v>4299.63</v>
          </cell>
          <cell r="AM68">
            <v>200.00000000000003</v>
          </cell>
          <cell r="AN68">
            <v>551.01</v>
          </cell>
        </row>
        <row r="69">
          <cell r="A69">
            <v>136</v>
          </cell>
          <cell r="B69" t="str">
            <v>BOMBEIRO HIDRÁULICO</v>
          </cell>
          <cell r="C69">
            <v>44</v>
          </cell>
          <cell r="D69">
            <v>210</v>
          </cell>
          <cell r="E69" t="str">
            <v>12x36 DIURNO</v>
          </cell>
          <cell r="F69" t="str">
            <v>BOMBEIRO HIDRÁULICO - (PERIC.) - 12x36 DIURNO - 44H</v>
          </cell>
          <cell r="G69">
            <v>210</v>
          </cell>
          <cell r="I69" t="str">
            <v>X</v>
          </cell>
          <cell r="L69">
            <v>12</v>
          </cell>
          <cell r="M69">
            <v>15.22</v>
          </cell>
          <cell r="N69">
            <v>24</v>
          </cell>
          <cell r="O69">
            <v>6</v>
          </cell>
          <cell r="R69">
            <v>2830.8276262195141</v>
          </cell>
          <cell r="S69">
            <v>849.24828786585419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5.1112165473407893</v>
          </cell>
          <cell r="Z69">
            <v>3685.1871306327093</v>
          </cell>
          <cell r="AA69">
            <v>0.81799999999999995</v>
          </cell>
          <cell r="AB69">
            <v>3014.4830728575562</v>
          </cell>
          <cell r="AC69">
            <v>19.18</v>
          </cell>
          <cell r="AD69">
            <v>53.397831978319772</v>
          </cell>
          <cell r="AE69">
            <v>72.577831978319779</v>
          </cell>
          <cell r="AF69">
            <v>5.4351890423414666</v>
          </cell>
          <cell r="AG69">
            <v>187.48959024390248</v>
          </cell>
          <cell r="AH69">
            <v>3.283403000675289E-2</v>
          </cell>
          <cell r="AI69">
            <v>246.6974637217821</v>
          </cell>
          <cell r="AJ69">
            <v>7.0000000000000007E-2</v>
          </cell>
          <cell r="AK69">
            <v>543.21164632263105</v>
          </cell>
          <cell r="AL69">
            <v>7755.08</v>
          </cell>
          <cell r="AM69">
            <v>200.00000000000003</v>
          </cell>
          <cell r="AN69">
            <v>548.29</v>
          </cell>
        </row>
        <row r="70">
          <cell r="A70">
            <v>134</v>
          </cell>
          <cell r="B70" t="str">
            <v>BOMBEIRO HIDRÁULICO</v>
          </cell>
          <cell r="C70">
            <v>44</v>
          </cell>
          <cell r="D70">
            <v>210</v>
          </cell>
          <cell r="E70" t="str">
            <v>12x36 DIURNO</v>
          </cell>
          <cell r="F70" t="str">
            <v>BOMBEIRO HIDRÁULICO - 12x36 DIURNO - 44H</v>
          </cell>
          <cell r="G70">
            <v>210</v>
          </cell>
          <cell r="L70">
            <v>12</v>
          </cell>
          <cell r="M70">
            <v>15.22</v>
          </cell>
          <cell r="N70">
            <v>24</v>
          </cell>
          <cell r="O70">
            <v>6</v>
          </cell>
          <cell r="R70">
            <v>2830.8276262195141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3.9317050364159916</v>
          </cell>
          <cell r="Z70">
            <v>2834.7593312559302</v>
          </cell>
          <cell r="AA70">
            <v>0.81799999999999995</v>
          </cell>
          <cell r="AB70">
            <v>2318.8331329673506</v>
          </cell>
          <cell r="AC70">
            <v>19.18</v>
          </cell>
          <cell r="AD70">
            <v>53.397831978319772</v>
          </cell>
          <cell r="AE70">
            <v>72.577831978319779</v>
          </cell>
          <cell r="AF70">
            <v>5.4351890423414666</v>
          </cell>
          <cell r="AG70">
            <v>187.48959024390248</v>
          </cell>
          <cell r="AH70">
            <v>3.283403000675289E-2</v>
          </cell>
          <cell r="AI70">
            <v>195.93350083791725</v>
          </cell>
          <cell r="AJ70">
            <v>7.0000000000000007E-2</v>
          </cell>
          <cell r="AK70">
            <v>431.43272717207162</v>
          </cell>
          <cell r="AL70">
            <v>6046.46</v>
          </cell>
          <cell r="AM70">
            <v>200.00000000000003</v>
          </cell>
          <cell r="AN70">
            <v>548.29</v>
          </cell>
        </row>
        <row r="71">
          <cell r="A71">
            <v>138</v>
          </cell>
          <cell r="B71" t="str">
            <v>BOMBEIRO HIDRÁULICO</v>
          </cell>
          <cell r="C71">
            <v>40</v>
          </cell>
          <cell r="D71">
            <v>200</v>
          </cell>
          <cell r="E71" t="str">
            <v>DIARISTA DIURNO</v>
          </cell>
          <cell r="F71" t="str">
            <v>BOMBEIRO HIDRÁULICO - (PERIC.) - DIARISTA DIURNO - 40H</v>
          </cell>
          <cell r="G71">
            <v>200</v>
          </cell>
          <cell r="I71" t="str">
            <v>X</v>
          </cell>
          <cell r="L71">
            <v>8</v>
          </cell>
          <cell r="M71">
            <v>22</v>
          </cell>
          <cell r="N71">
            <v>24</v>
          </cell>
          <cell r="O71">
            <v>6</v>
          </cell>
          <cell r="R71">
            <v>2573.4796601995586</v>
          </cell>
          <cell r="S71">
            <v>772.0438980598675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3345.523558259426</v>
          </cell>
          <cell r="AA71">
            <v>0.81799999999999995</v>
          </cell>
          <cell r="AB71">
            <v>2736.6382706562104</v>
          </cell>
          <cell r="AC71">
            <v>19.18</v>
          </cell>
          <cell r="AD71">
            <v>53.397831978319772</v>
          </cell>
          <cell r="AE71">
            <v>72.577831978319779</v>
          </cell>
          <cell r="AF71">
            <v>4.9410809475831519</v>
          </cell>
          <cell r="AG71">
            <v>198.66351485587586</v>
          </cell>
          <cell r="AH71">
            <v>3.283403000675289E-2</v>
          </cell>
          <cell r="AI71">
            <v>226.77283663757041</v>
          </cell>
          <cell r="AJ71">
            <v>7.0000000000000007E-2</v>
          </cell>
          <cell r="AK71">
            <v>499.33892336271731</v>
          </cell>
          <cell r="AL71">
            <v>7084.45</v>
          </cell>
          <cell r="AM71">
            <v>181.81818181818184</v>
          </cell>
          <cell r="AN71">
            <v>548.29</v>
          </cell>
        </row>
        <row r="72">
          <cell r="A72">
            <v>133</v>
          </cell>
          <cell r="B72" t="str">
            <v>BOMBEIRO HIDRÁULICO</v>
          </cell>
          <cell r="C72">
            <v>40</v>
          </cell>
          <cell r="D72">
            <v>200</v>
          </cell>
          <cell r="E72" t="str">
            <v>DIARISTA DIURNO</v>
          </cell>
          <cell r="F72" t="str">
            <v>BOMBEIRO HIDRÁULICO - DIARISTA DIURNO - 40H</v>
          </cell>
          <cell r="G72">
            <v>200</v>
          </cell>
          <cell r="L72">
            <v>8</v>
          </cell>
          <cell r="M72">
            <v>22</v>
          </cell>
          <cell r="N72">
            <v>24</v>
          </cell>
          <cell r="O72">
            <v>6</v>
          </cell>
          <cell r="R72">
            <v>2573.4796601995586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2573.4796601995586</v>
          </cell>
          <cell r="AA72">
            <v>0.81799999999999995</v>
          </cell>
          <cell r="AB72">
            <v>2105.1063620432387</v>
          </cell>
          <cell r="AC72">
            <v>19.18</v>
          </cell>
          <cell r="AD72">
            <v>53.397831978319772</v>
          </cell>
          <cell r="AE72">
            <v>72.577831978319779</v>
          </cell>
          <cell r="AF72">
            <v>4.9410809475831519</v>
          </cell>
          <cell r="AG72">
            <v>198.66351485587586</v>
          </cell>
          <cell r="AH72">
            <v>3.283403000675289E-2</v>
          </cell>
          <cell r="AI72">
            <v>180.68778648452204</v>
          </cell>
          <cell r="AJ72">
            <v>7.0000000000000007E-2</v>
          </cell>
          <cell r="AK72">
            <v>397.8626633849052</v>
          </cell>
          <cell r="AL72">
            <v>5533.31</v>
          </cell>
          <cell r="AM72">
            <v>181.81818181818184</v>
          </cell>
          <cell r="AN72">
            <v>548.29</v>
          </cell>
        </row>
        <row r="73">
          <cell r="A73">
            <v>137</v>
          </cell>
          <cell r="B73" t="str">
            <v>BOMBEIRO HIDRÁULICO</v>
          </cell>
          <cell r="C73">
            <v>44</v>
          </cell>
          <cell r="D73">
            <v>220</v>
          </cell>
          <cell r="E73" t="str">
            <v>DIARISTA DIURNO</v>
          </cell>
          <cell r="F73" t="str">
            <v>BOMBEIRO HIDRÁULICO - (PERIC.) - DIARISTA DIURNO - 44H</v>
          </cell>
          <cell r="G73">
            <v>220</v>
          </cell>
          <cell r="I73" t="str">
            <v>X</v>
          </cell>
          <cell r="L73">
            <v>8</v>
          </cell>
          <cell r="M73">
            <v>22</v>
          </cell>
          <cell r="N73">
            <v>24</v>
          </cell>
          <cell r="O73">
            <v>6</v>
          </cell>
          <cell r="R73">
            <v>2830.8276262195141</v>
          </cell>
          <cell r="S73">
            <v>849.24828786585419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3680.0759140853684</v>
          </cell>
          <cell r="AA73">
            <v>0.81799999999999995</v>
          </cell>
          <cell r="AB73">
            <v>3010.3020977218312</v>
          </cell>
          <cell r="AC73">
            <v>19.18</v>
          </cell>
          <cell r="AD73">
            <v>53.397831978319772</v>
          </cell>
          <cell r="AE73">
            <v>72.577831978319779</v>
          </cell>
          <cell r="AF73">
            <v>5.4351890423414666</v>
          </cell>
          <cell r="AG73">
            <v>187.48959024390248</v>
          </cell>
          <cell r="AH73">
            <v>3.283403000675289E-2</v>
          </cell>
          <cell r="AI73">
            <v>246.39236362123179</v>
          </cell>
          <cell r="AJ73">
            <v>7.0000000000000007E-2</v>
          </cell>
          <cell r="AK73">
            <v>542.53983589777795</v>
          </cell>
          <cell r="AL73">
            <v>7744.81</v>
          </cell>
          <cell r="AM73">
            <v>200.00000000000003</v>
          </cell>
          <cell r="AN73">
            <v>548.29</v>
          </cell>
        </row>
        <row r="74">
          <cell r="A74">
            <v>132</v>
          </cell>
          <cell r="B74" t="str">
            <v>BOMBEIRO HIDRÁULICO</v>
          </cell>
          <cell r="C74">
            <v>44</v>
          </cell>
          <cell r="D74">
            <v>220</v>
          </cell>
          <cell r="E74" t="str">
            <v>DIARISTA DIURNO</v>
          </cell>
          <cell r="F74" t="str">
            <v>BOMBEIRO HIDRÁULICO - DIARISTA DIURNO - 44H</v>
          </cell>
          <cell r="G74">
            <v>220</v>
          </cell>
          <cell r="L74">
            <v>8</v>
          </cell>
          <cell r="M74">
            <v>22</v>
          </cell>
          <cell r="N74">
            <v>24</v>
          </cell>
          <cell r="O74">
            <v>6</v>
          </cell>
          <cell r="R74">
            <v>2830.8276262195141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2830.8276262195141</v>
          </cell>
          <cell r="AA74">
            <v>0.81799999999999995</v>
          </cell>
          <cell r="AB74">
            <v>2315.6169982475622</v>
          </cell>
          <cell r="AC74">
            <v>19.18</v>
          </cell>
          <cell r="AD74">
            <v>53.397831978319772</v>
          </cell>
          <cell r="AE74">
            <v>72.577831978319779</v>
          </cell>
          <cell r="AF74">
            <v>5.4351890423414666</v>
          </cell>
          <cell r="AG74">
            <v>187.48959024390248</v>
          </cell>
          <cell r="AH74">
            <v>3.283403000675289E-2</v>
          </cell>
          <cell r="AI74">
            <v>195.69880845287858</v>
          </cell>
          <cell r="AJ74">
            <v>7.0000000000000007E-2</v>
          </cell>
          <cell r="AK74">
            <v>430.91594992218455</v>
          </cell>
          <cell r="AL74">
            <v>6038.56</v>
          </cell>
          <cell r="AM74">
            <v>200.00000000000003</v>
          </cell>
          <cell r="AN74">
            <v>548.29</v>
          </cell>
        </row>
        <row r="75">
          <cell r="A75">
            <v>413</v>
          </cell>
          <cell r="B75" t="str">
            <v>CAMAREIRA DE HOSPITAIS</v>
          </cell>
          <cell r="C75">
            <v>44</v>
          </cell>
          <cell r="D75">
            <v>210</v>
          </cell>
          <cell r="E75" t="str">
            <v>12x36 DIURNO</v>
          </cell>
          <cell r="F75" t="str">
            <v>CAMAREIRA DE HOSPITAIS - 12x36 DIURNO - 44H</v>
          </cell>
          <cell r="G75">
            <v>210</v>
          </cell>
          <cell r="L75">
            <v>12</v>
          </cell>
          <cell r="M75">
            <v>15.22</v>
          </cell>
          <cell r="N75">
            <v>24</v>
          </cell>
          <cell r="O75">
            <v>6</v>
          </cell>
          <cell r="R75">
            <v>1772.8039999999994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2.4622277777777772</v>
          </cell>
          <cell r="Z75">
            <v>1775.2662277777772</v>
          </cell>
          <cell r="AA75">
            <v>0.81799999999999995</v>
          </cell>
          <cell r="AB75">
            <v>1452.1677743222217</v>
          </cell>
          <cell r="AC75">
            <v>45.232727272727274</v>
          </cell>
          <cell r="AD75">
            <v>97</v>
          </cell>
          <cell r="AE75">
            <v>142.23272727272729</v>
          </cell>
          <cell r="AF75">
            <v>3.4037836799999988</v>
          </cell>
          <cell r="AG75">
            <v>188.47763809523809</v>
          </cell>
          <cell r="AH75">
            <v>0</v>
          </cell>
          <cell r="AI75">
            <v>0</v>
          </cell>
          <cell r="AJ75">
            <v>7.0000000000000007E-2</v>
          </cell>
          <cell r="AK75">
            <v>287.9189705803575</v>
          </cell>
          <cell r="AL75">
            <v>3849.46</v>
          </cell>
          <cell r="AM75">
            <v>200.00000000000003</v>
          </cell>
          <cell r="AN75">
            <v>551.58000000000004</v>
          </cell>
        </row>
        <row r="76">
          <cell r="A76">
            <v>414</v>
          </cell>
          <cell r="B76" t="str">
            <v>CAMAREIRA DE HOSPITAIS</v>
          </cell>
          <cell r="C76">
            <v>44</v>
          </cell>
          <cell r="D76">
            <v>210</v>
          </cell>
          <cell r="E76" t="str">
            <v>12x36 NOTURNO</v>
          </cell>
          <cell r="F76" t="str">
            <v>CAMAREIRA DE HOSPITAIS - 12x36 NOTURNO - 44H</v>
          </cell>
          <cell r="G76">
            <v>210</v>
          </cell>
          <cell r="L76">
            <v>12</v>
          </cell>
          <cell r="M76">
            <v>15.22</v>
          </cell>
          <cell r="N76">
            <v>24</v>
          </cell>
          <cell r="O76">
            <v>6</v>
          </cell>
          <cell r="P76">
            <v>7</v>
          </cell>
          <cell r="Q76">
            <v>2</v>
          </cell>
          <cell r="R76">
            <v>1772.8039999999994</v>
          </cell>
          <cell r="S76">
            <v>0</v>
          </cell>
          <cell r="T76">
            <v>412.99145912384029</v>
          </cell>
          <cell r="U76">
            <v>9.0149694951908401</v>
          </cell>
          <cell r="V76">
            <v>33.806125465124964</v>
          </cell>
          <cell r="W76">
            <v>0</v>
          </cell>
          <cell r="X76">
            <v>0</v>
          </cell>
          <cell r="Y76">
            <v>2.4622277777777772</v>
          </cell>
          <cell r="Z76">
            <v>2231.0787818619328</v>
          </cell>
          <cell r="AA76">
            <v>0.81799999999999995</v>
          </cell>
          <cell r="AB76">
            <v>1825.022443563061</v>
          </cell>
          <cell r="AC76">
            <v>45.232727272727274</v>
          </cell>
          <cell r="AD76">
            <v>97</v>
          </cell>
          <cell r="AE76">
            <v>142.23272727272729</v>
          </cell>
          <cell r="AF76">
            <v>3.4037836799999988</v>
          </cell>
          <cell r="AG76">
            <v>188.47763809523809</v>
          </cell>
          <cell r="AH76">
            <v>0</v>
          </cell>
          <cell r="AI76">
            <v>0</v>
          </cell>
          <cell r="AJ76">
            <v>7.0000000000000007E-2</v>
          </cell>
          <cell r="AK76">
            <v>345.92567621310712</v>
          </cell>
          <cell r="AL76">
            <v>4736.1400000000003</v>
          </cell>
          <cell r="AM76">
            <v>200.00000000000003</v>
          </cell>
          <cell r="AN76">
            <v>551.58000000000004</v>
          </cell>
        </row>
        <row r="77">
          <cell r="A77">
            <v>192</v>
          </cell>
          <cell r="B77" t="str">
            <v>COPEIRO</v>
          </cell>
          <cell r="C77">
            <v>44</v>
          </cell>
          <cell r="D77">
            <v>210</v>
          </cell>
          <cell r="E77" t="str">
            <v>12x36 DIURNO</v>
          </cell>
          <cell r="F77" t="str">
            <v>COPEIRO - 12x36 DIURNO - 44H</v>
          </cell>
          <cell r="G77">
            <v>210</v>
          </cell>
          <cell r="L77">
            <v>12</v>
          </cell>
          <cell r="M77">
            <v>15.22</v>
          </cell>
          <cell r="N77">
            <v>24</v>
          </cell>
          <cell r="O77">
            <v>6</v>
          </cell>
          <cell r="R77">
            <v>1874.4100050803386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2.6033472292782478</v>
          </cell>
          <cell r="Z77">
            <v>1877.0133523096167</v>
          </cell>
          <cell r="AA77">
            <v>0.81799999999999995</v>
          </cell>
          <cell r="AB77">
            <v>1535.3969221892664</v>
          </cell>
          <cell r="AC77">
            <v>51.978333333333332</v>
          </cell>
          <cell r="AD77">
            <v>30.240899280575537</v>
          </cell>
          <cell r="AE77">
            <v>82.219232613908872</v>
          </cell>
          <cell r="AF77">
            <v>3.5988672097542498</v>
          </cell>
          <cell r="AG77">
            <v>154.19605323740996</v>
          </cell>
          <cell r="AH77">
            <v>3.4228710630741767E-2</v>
          </cell>
          <cell r="AI77">
            <v>143.91362279793654</v>
          </cell>
          <cell r="AJ77">
            <v>7.0000000000000007E-2</v>
          </cell>
          <cell r="AK77">
            <v>304.38692683440513</v>
          </cell>
          <cell r="AL77">
            <v>4100.72</v>
          </cell>
          <cell r="AM77">
            <v>200.00000000000003</v>
          </cell>
          <cell r="AN77">
            <v>552.04</v>
          </cell>
        </row>
        <row r="78">
          <cell r="A78">
            <v>193</v>
          </cell>
          <cell r="B78" t="str">
            <v>COPEIRO</v>
          </cell>
          <cell r="C78">
            <v>44</v>
          </cell>
          <cell r="D78">
            <v>210</v>
          </cell>
          <cell r="E78" t="str">
            <v>12x36 NOTURNO</v>
          </cell>
          <cell r="F78" t="str">
            <v>COPEIRO - 12x36 NOTURNO - 44H</v>
          </cell>
          <cell r="G78">
            <v>210</v>
          </cell>
          <cell r="L78">
            <v>12</v>
          </cell>
          <cell r="M78">
            <v>15.22</v>
          </cell>
          <cell r="N78">
            <v>24</v>
          </cell>
          <cell r="O78">
            <v>6</v>
          </cell>
          <cell r="P78">
            <v>7</v>
          </cell>
          <cell r="Q78">
            <v>2</v>
          </cell>
          <cell r="R78">
            <v>1874.4100050803386</v>
          </cell>
          <cell r="S78">
            <v>0</v>
          </cell>
          <cell r="T78">
            <v>436.66153900513211</v>
          </cell>
          <cell r="U78">
            <v>9.5316509988017657</v>
          </cell>
          <cell r="V78">
            <v>35.743680522399245</v>
          </cell>
          <cell r="W78">
            <v>0</v>
          </cell>
          <cell r="X78">
            <v>0</v>
          </cell>
          <cell r="Y78">
            <v>2.6033472292782478</v>
          </cell>
          <cell r="Z78">
            <v>2358.9502228359502</v>
          </cell>
          <cell r="AA78">
            <v>0.81799999999999995</v>
          </cell>
          <cell r="AB78">
            <v>1929.621282279807</v>
          </cell>
          <cell r="AC78">
            <v>51.978333333333332</v>
          </cell>
          <cell r="AD78">
            <v>30.240899280575537</v>
          </cell>
          <cell r="AE78">
            <v>82.219232613908872</v>
          </cell>
          <cell r="AF78">
            <v>3.5988672097542498</v>
          </cell>
          <cell r="AG78">
            <v>154.19605323740996</v>
          </cell>
          <cell r="AH78">
            <v>3.4228710630741767E-2</v>
          </cell>
          <cell r="AI78">
            <v>173.90349202659613</v>
          </cell>
          <cell r="AJ78">
            <v>7.0000000000000007E-2</v>
          </cell>
          <cell r="AK78">
            <v>367.81750382359246</v>
          </cell>
          <cell r="AL78">
            <v>5070.3</v>
          </cell>
          <cell r="AM78">
            <v>200.00000000000003</v>
          </cell>
          <cell r="AN78">
            <v>552.04</v>
          </cell>
        </row>
        <row r="79">
          <cell r="A79">
            <v>191</v>
          </cell>
          <cell r="B79" t="str">
            <v>COPEIRO</v>
          </cell>
          <cell r="C79">
            <v>30</v>
          </cell>
          <cell r="D79">
            <v>150</v>
          </cell>
          <cell r="E79" t="str">
            <v>DIARISTA DIURNO</v>
          </cell>
          <cell r="F79" t="str">
            <v>COPEIRO - DIARISTA DIURNO - 30H</v>
          </cell>
          <cell r="G79">
            <v>150</v>
          </cell>
          <cell r="L79">
            <v>6</v>
          </cell>
          <cell r="M79">
            <v>22</v>
          </cell>
          <cell r="N79">
            <v>24</v>
          </cell>
          <cell r="O79">
            <v>6</v>
          </cell>
          <cell r="R79">
            <v>1278.0068216456852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1278.0068216456852</v>
          </cell>
          <cell r="AA79">
            <v>0.81799999999999995</v>
          </cell>
          <cell r="AB79">
            <v>1045.4095801061706</v>
          </cell>
          <cell r="AC79">
            <v>51.978333333333332</v>
          </cell>
          <cell r="AD79">
            <v>30.240899280575537</v>
          </cell>
          <cell r="AE79">
            <v>82.219232613908872</v>
          </cell>
          <cell r="AF79">
            <v>2.4537730975597154</v>
          </cell>
          <cell r="AG79">
            <v>181.47890804447346</v>
          </cell>
          <cell r="AH79">
            <v>3.4228710630741767E-2</v>
          </cell>
          <cell r="AI79">
            <v>107.53342849638798</v>
          </cell>
          <cell r="AJ79">
            <v>7.0000000000000007E-2</v>
          </cell>
          <cell r="AK79">
            <v>227.44038538964566</v>
          </cell>
          <cell r="AL79">
            <v>2924.54</v>
          </cell>
          <cell r="AM79">
            <v>136.36363636363637</v>
          </cell>
          <cell r="AN79">
            <v>552.04</v>
          </cell>
        </row>
        <row r="80">
          <cell r="A80">
            <v>1167</v>
          </cell>
          <cell r="B80" t="str">
            <v>COPEIRO</v>
          </cell>
          <cell r="C80">
            <v>36</v>
          </cell>
          <cell r="D80">
            <v>180</v>
          </cell>
          <cell r="E80" t="str">
            <v>DIARISTA DIURNO</v>
          </cell>
          <cell r="F80" t="str">
            <v>COPEIRO - DIARISTA DIURNO - 36H</v>
          </cell>
          <cell r="G80">
            <v>180</v>
          </cell>
          <cell r="L80">
            <v>6</v>
          </cell>
          <cell r="M80">
            <v>22</v>
          </cell>
          <cell r="N80">
            <v>24</v>
          </cell>
          <cell r="O80">
            <v>6</v>
          </cell>
          <cell r="R80">
            <v>1533.6081859748224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1533.6081859748224</v>
          </cell>
          <cell r="AA80">
            <v>0.81799999999999995</v>
          </cell>
          <cell r="AB80">
            <v>1254.4914961274046</v>
          </cell>
          <cell r="AC80">
            <v>51.978333333333332</v>
          </cell>
          <cell r="AD80">
            <v>30.240899280575537</v>
          </cell>
          <cell r="AE80">
            <v>82.219232613908872</v>
          </cell>
          <cell r="AF80">
            <v>2.9445277170716588</v>
          </cell>
          <cell r="AG80">
            <v>169.78625598430338</v>
          </cell>
          <cell r="AH80">
            <v>3.4228710630741767E-2</v>
          </cell>
          <cell r="AI80">
            <v>123.05551152843314</v>
          </cell>
          <cell r="AJ80">
            <v>7.0000000000000007E-2</v>
          </cell>
          <cell r="AK80">
            <v>260.27062800556877</v>
          </cell>
          <cell r="AL80">
            <v>3426.37</v>
          </cell>
          <cell r="AM80">
            <v>163.63636363636365</v>
          </cell>
          <cell r="AN80">
            <v>552.04</v>
          </cell>
        </row>
        <row r="81">
          <cell r="A81">
            <v>189</v>
          </cell>
          <cell r="B81" t="str">
            <v>COPEIRO</v>
          </cell>
          <cell r="C81">
            <v>40</v>
          </cell>
          <cell r="D81">
            <v>200</v>
          </cell>
          <cell r="E81" t="str">
            <v>DIARISTA DIURNO</v>
          </cell>
          <cell r="F81" t="str">
            <v>COPEIRO - DIARISTA DIURNO - 40H</v>
          </cell>
          <cell r="G81">
            <v>200</v>
          </cell>
          <cell r="L81">
            <v>8</v>
          </cell>
          <cell r="M81">
            <v>22</v>
          </cell>
          <cell r="N81">
            <v>24</v>
          </cell>
          <cell r="O81">
            <v>6</v>
          </cell>
          <cell r="R81">
            <v>1704.0090955275805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1704.0090955275805</v>
          </cell>
          <cell r="AA81">
            <v>0.81799999999999995</v>
          </cell>
          <cell r="AB81">
            <v>1393.8794401415607</v>
          </cell>
          <cell r="AC81">
            <v>51.978333333333332</v>
          </cell>
          <cell r="AD81">
            <v>30.240899280575537</v>
          </cell>
          <cell r="AE81">
            <v>82.219232613908872</v>
          </cell>
          <cell r="AF81">
            <v>3.2716974634129543</v>
          </cell>
          <cell r="AG81">
            <v>161.99115461085665</v>
          </cell>
          <cell r="AH81">
            <v>3.4228710630741767E-2</v>
          </cell>
          <cell r="AI81">
            <v>133.40356688312994</v>
          </cell>
          <cell r="AJ81">
            <v>7.0000000000000007E-2</v>
          </cell>
          <cell r="AK81">
            <v>282.15745641618412</v>
          </cell>
          <cell r="AL81">
            <v>3760.93</v>
          </cell>
          <cell r="AM81">
            <v>181.81818181818184</v>
          </cell>
          <cell r="AN81">
            <v>552.04</v>
          </cell>
        </row>
        <row r="82">
          <cell r="A82">
            <v>188</v>
          </cell>
          <cell r="B82" t="str">
            <v>COPEIRO</v>
          </cell>
          <cell r="C82">
            <v>44</v>
          </cell>
          <cell r="D82">
            <v>220</v>
          </cell>
          <cell r="E82" t="str">
            <v>DIARISTA DIURNO</v>
          </cell>
          <cell r="F82" t="str">
            <v>COPEIRO - DIARISTA DIURNO - 44H</v>
          </cell>
          <cell r="G82">
            <v>220</v>
          </cell>
          <cell r="L82">
            <v>8</v>
          </cell>
          <cell r="M82">
            <v>22</v>
          </cell>
          <cell r="N82">
            <v>24</v>
          </cell>
          <cell r="O82">
            <v>6</v>
          </cell>
          <cell r="R82">
            <v>1874.4100050803386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1874.4100050803386</v>
          </cell>
          <cell r="AA82">
            <v>0.81799999999999995</v>
          </cell>
          <cell r="AB82">
            <v>1533.2673841557169</v>
          </cell>
          <cell r="AC82">
            <v>51.978333333333332</v>
          </cell>
          <cell r="AD82">
            <v>30.240899280575537</v>
          </cell>
          <cell r="AE82">
            <v>82.219232613908872</v>
          </cell>
          <cell r="AF82">
            <v>3.5988672097542498</v>
          </cell>
          <cell r="AG82">
            <v>154.19605323740996</v>
          </cell>
          <cell r="AH82">
            <v>3.4228710630741767E-2</v>
          </cell>
          <cell r="AI82">
            <v>143.75162223782669</v>
          </cell>
          <cell r="AJ82">
            <v>7.0000000000000007E-2</v>
          </cell>
          <cell r="AK82">
            <v>304.04428482679947</v>
          </cell>
          <cell r="AL82">
            <v>4095.48</v>
          </cell>
          <cell r="AM82">
            <v>200.00000000000003</v>
          </cell>
          <cell r="AN82">
            <v>552.04</v>
          </cell>
        </row>
        <row r="83">
          <cell r="A83">
            <v>1168</v>
          </cell>
          <cell r="B83" t="str">
            <v>COVEIRO</v>
          </cell>
          <cell r="C83">
            <v>44</v>
          </cell>
          <cell r="D83">
            <v>210</v>
          </cell>
          <cell r="E83" t="str">
            <v>12x36 DIURNO</v>
          </cell>
          <cell r="F83" t="str">
            <v>COVEIRO - 12x36 DIURNO - 44H</v>
          </cell>
          <cell r="G83">
            <v>210</v>
          </cell>
          <cell r="L83">
            <v>12</v>
          </cell>
          <cell r="M83">
            <v>15.22</v>
          </cell>
          <cell r="N83">
            <v>24</v>
          </cell>
          <cell r="O83">
            <v>6</v>
          </cell>
          <cell r="R83">
            <v>1990.3625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2.7643923611111112</v>
          </cell>
          <cell r="Z83">
            <v>1993.126892361111</v>
          </cell>
          <cell r="AA83">
            <v>0.81799999999999995</v>
          </cell>
          <cell r="AB83">
            <v>1630.3777979513886</v>
          </cell>
          <cell r="AC83">
            <v>31.89</v>
          </cell>
          <cell r="AD83">
            <v>58.867272727272727</v>
          </cell>
          <cell r="AE83">
            <v>90.757272727272721</v>
          </cell>
          <cell r="AF83">
            <v>3.8214959999999998</v>
          </cell>
          <cell r="AG83">
            <v>0</v>
          </cell>
          <cell r="AH83">
            <v>0</v>
          </cell>
          <cell r="AI83">
            <v>0</v>
          </cell>
          <cell r="AJ83">
            <v>7.0000000000000007E-2</v>
          </cell>
          <cell r="AK83">
            <v>298.87644213278412</v>
          </cell>
          <cell r="AL83">
            <v>4016.95</v>
          </cell>
          <cell r="AM83">
            <v>200.00000000000003</v>
          </cell>
          <cell r="AN83">
            <v>551.58000000000004</v>
          </cell>
        </row>
        <row r="84">
          <cell r="A84">
            <v>376</v>
          </cell>
          <cell r="B84" t="str">
            <v>COVEIRO</v>
          </cell>
          <cell r="C84">
            <v>44</v>
          </cell>
          <cell r="D84">
            <v>220</v>
          </cell>
          <cell r="E84" t="str">
            <v>DIARISTA DIURNO</v>
          </cell>
          <cell r="F84" t="str">
            <v>COVEIRO - DIARISTA DIURNO - 44H</v>
          </cell>
          <cell r="G84">
            <v>220</v>
          </cell>
          <cell r="L84">
            <v>12</v>
          </cell>
          <cell r="M84">
            <v>15.22</v>
          </cell>
          <cell r="N84">
            <v>24</v>
          </cell>
          <cell r="O84">
            <v>6</v>
          </cell>
          <cell r="R84">
            <v>1990.3625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1990.3625</v>
          </cell>
          <cell r="AA84">
            <v>0.81799999999999995</v>
          </cell>
          <cell r="AB84">
            <v>1628.1165249999999</v>
          </cell>
          <cell r="AC84">
            <v>31.89</v>
          </cell>
          <cell r="AD84">
            <v>58.867272727272727</v>
          </cell>
          <cell r="AE84">
            <v>90.757272727272721</v>
          </cell>
          <cell r="AF84">
            <v>3.8214959999999998</v>
          </cell>
          <cell r="AG84">
            <v>0</v>
          </cell>
          <cell r="AH84">
            <v>0</v>
          </cell>
          <cell r="AI84">
            <v>0</v>
          </cell>
          <cell r="AJ84">
            <v>7.0000000000000007E-2</v>
          </cell>
          <cell r="AK84">
            <v>298.52464556090911</v>
          </cell>
          <cell r="AL84">
            <v>4011.58</v>
          </cell>
          <cell r="AM84">
            <v>200.00000000000003</v>
          </cell>
          <cell r="AN84">
            <v>551.58000000000004</v>
          </cell>
        </row>
        <row r="85">
          <cell r="A85">
            <v>202</v>
          </cell>
          <cell r="B85" t="str">
            <v>COZINHEIRO</v>
          </cell>
          <cell r="C85">
            <v>44</v>
          </cell>
          <cell r="D85">
            <v>210</v>
          </cell>
          <cell r="E85" t="str">
            <v>12x36 DIURNO</v>
          </cell>
          <cell r="F85" t="str">
            <v>COZINHEIRO - 12x36 DIURNO - 44H</v>
          </cell>
          <cell r="G85">
            <v>210</v>
          </cell>
          <cell r="L85">
            <v>12</v>
          </cell>
          <cell r="M85">
            <v>15.22</v>
          </cell>
          <cell r="N85">
            <v>24</v>
          </cell>
          <cell r="O85">
            <v>6</v>
          </cell>
          <cell r="R85">
            <v>2480.183171590907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3.4446988494318149</v>
          </cell>
          <cell r="Z85">
            <v>2483.6278704403389</v>
          </cell>
          <cell r="AA85">
            <v>0.81799999999999995</v>
          </cell>
          <cell r="AB85">
            <v>2031.6075980201972</v>
          </cell>
          <cell r="AC85">
            <v>51.978333333333332</v>
          </cell>
          <cell r="AD85">
            <v>48.37833333333333</v>
          </cell>
          <cell r="AE85">
            <v>100.35666666666665</v>
          </cell>
          <cell r="AF85">
            <v>4.7619516894545413</v>
          </cell>
          <cell r="AG85">
            <v>94.29281818181812</v>
          </cell>
          <cell r="AH85">
            <v>3.3270405014934099E-2</v>
          </cell>
          <cell r="AI85">
            <v>175.20950202984216</v>
          </cell>
          <cell r="AJ85">
            <v>7.0000000000000007E-2</v>
          </cell>
          <cell r="AK85">
            <v>380.90054849198225</v>
          </cell>
          <cell r="AL85">
            <v>5270.75</v>
          </cell>
          <cell r="AM85">
            <v>200.00000000000003</v>
          </cell>
          <cell r="AN85">
            <v>551.58000000000004</v>
          </cell>
        </row>
        <row r="86">
          <cell r="A86">
            <v>203</v>
          </cell>
          <cell r="B86" t="str">
            <v>COZINHEIRO</v>
          </cell>
          <cell r="C86">
            <v>44</v>
          </cell>
          <cell r="D86">
            <v>210</v>
          </cell>
          <cell r="E86" t="str">
            <v>12x36 NOTURNO</v>
          </cell>
          <cell r="F86" t="str">
            <v>COZINHEIRO - 12x36 NOTURNO - 44H</v>
          </cell>
          <cell r="G86">
            <v>210</v>
          </cell>
          <cell r="L86">
            <v>12</v>
          </cell>
          <cell r="M86">
            <v>15.22</v>
          </cell>
          <cell r="N86">
            <v>24</v>
          </cell>
          <cell r="O86">
            <v>6</v>
          </cell>
          <cell r="P86">
            <v>7</v>
          </cell>
          <cell r="Q86">
            <v>2</v>
          </cell>
          <cell r="R86">
            <v>2480.183171590907</v>
          </cell>
          <cell r="S86">
            <v>0</v>
          </cell>
          <cell r="T86">
            <v>577.78212759544942</v>
          </cell>
          <cell r="U86">
            <v>12.61209678812644</v>
          </cell>
          <cell r="V86">
            <v>47.295348766865253</v>
          </cell>
          <cell r="W86">
            <v>0</v>
          </cell>
          <cell r="X86">
            <v>0</v>
          </cell>
          <cell r="Y86">
            <v>3.4446988494318149</v>
          </cell>
          <cell r="Z86">
            <v>3121.3174435907799</v>
          </cell>
          <cell r="AA86">
            <v>0.81799999999999995</v>
          </cell>
          <cell r="AB86">
            <v>2553.2376688572576</v>
          </cell>
          <cell r="AC86">
            <v>51.978333333333332</v>
          </cell>
          <cell r="AD86">
            <v>48.37833333333333</v>
          </cell>
          <cell r="AE86">
            <v>100.35666666666665</v>
          </cell>
          <cell r="AF86">
            <v>4.7619516894545413</v>
          </cell>
          <cell r="AG86">
            <v>94.29281818181812</v>
          </cell>
          <cell r="AH86">
            <v>3.3270405014934099E-2</v>
          </cell>
          <cell r="AI86">
            <v>213.78053612707552</v>
          </cell>
          <cell r="AJ86">
            <v>7.0000000000000007E-2</v>
          </cell>
          <cell r="AK86">
            <v>464.75289595791367</v>
          </cell>
          <cell r="AL86">
            <v>6552.49</v>
          </cell>
          <cell r="AM86">
            <v>200.00000000000003</v>
          </cell>
          <cell r="AN86">
            <v>551.58000000000004</v>
          </cell>
        </row>
        <row r="87">
          <cell r="A87">
            <v>1897</v>
          </cell>
          <cell r="B87" t="str">
            <v>COZINHEIRO</v>
          </cell>
          <cell r="C87">
            <v>40</v>
          </cell>
          <cell r="D87">
            <v>200</v>
          </cell>
          <cell r="E87" t="str">
            <v>DIARISTA DIURNO</v>
          </cell>
          <cell r="F87" t="str">
            <v>COZINHEIRO - DIARISTA DIURNO - 40H</v>
          </cell>
          <cell r="G87">
            <v>200</v>
          </cell>
          <cell r="L87">
            <v>8</v>
          </cell>
          <cell r="M87">
            <v>22</v>
          </cell>
          <cell r="N87">
            <v>24</v>
          </cell>
          <cell r="O87">
            <v>6</v>
          </cell>
          <cell r="R87">
            <v>2254.7119741735519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2254.7119741735519</v>
          </cell>
          <cell r="AA87">
            <v>0.81799999999999995</v>
          </cell>
          <cell r="AB87">
            <v>1844.3543948739652</v>
          </cell>
          <cell r="AC87">
            <v>51.978333333333332</v>
          </cell>
          <cell r="AD87">
            <v>48.37833333333333</v>
          </cell>
          <cell r="AE87">
            <v>100.35666666666665</v>
          </cell>
          <cell r="AF87">
            <v>4.3290469904132189</v>
          </cell>
          <cell r="AG87">
            <v>101.41327272727267</v>
          </cell>
          <cell r="AH87">
            <v>3.3270405014934099E-2</v>
          </cell>
          <cell r="AI87">
            <v>161.58588502961837</v>
          </cell>
          <cell r="AJ87">
            <v>7.0000000000000007E-2</v>
          </cell>
          <cell r="AK87">
            <v>351.28318683230418</v>
          </cell>
          <cell r="AL87">
            <v>4818.03</v>
          </cell>
          <cell r="AM87">
            <v>181.81818181818184</v>
          </cell>
          <cell r="AN87">
            <v>551.58000000000004</v>
          </cell>
        </row>
        <row r="88">
          <cell r="A88">
            <v>201</v>
          </cell>
          <cell r="B88" t="str">
            <v>COZINHEIRO</v>
          </cell>
          <cell r="C88">
            <v>44</v>
          </cell>
          <cell r="D88">
            <v>220</v>
          </cell>
          <cell r="E88" t="str">
            <v>DIARISTA DIURNO</v>
          </cell>
          <cell r="F88" t="str">
            <v>COZINHEIRO - DIARISTA DIURNO - 44H</v>
          </cell>
          <cell r="G88">
            <v>220</v>
          </cell>
          <cell r="L88">
            <v>8</v>
          </cell>
          <cell r="M88">
            <v>22</v>
          </cell>
          <cell r="N88">
            <v>24</v>
          </cell>
          <cell r="O88">
            <v>6</v>
          </cell>
          <cell r="R88">
            <v>2480.183171590907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2480.183171590907</v>
          </cell>
          <cell r="AA88">
            <v>0.81799999999999995</v>
          </cell>
          <cell r="AB88">
            <v>2028.7898343613617</v>
          </cell>
          <cell r="AC88">
            <v>51.978333333333332</v>
          </cell>
          <cell r="AD88">
            <v>48.37833333333333</v>
          </cell>
          <cell r="AE88">
            <v>100.35666666666665</v>
          </cell>
          <cell r="AF88">
            <v>4.7619516894545413</v>
          </cell>
          <cell r="AG88">
            <v>94.29281818181812</v>
          </cell>
          <cell r="AH88">
            <v>3.3270405014934099E-2</v>
          </cell>
          <cell r="AI88">
            <v>175.00114736580124</v>
          </cell>
          <cell r="AJ88">
            <v>7.0000000000000007E-2</v>
          </cell>
          <cell r="AK88">
            <v>380.44759128992069</v>
          </cell>
          <cell r="AL88">
            <v>5263.83</v>
          </cell>
          <cell r="AM88">
            <v>200.00000000000003</v>
          </cell>
          <cell r="AN88">
            <v>551.58000000000004</v>
          </cell>
        </row>
        <row r="89">
          <cell r="A89">
            <v>82</v>
          </cell>
          <cell r="B89" t="str">
            <v>DIGITADOR</v>
          </cell>
          <cell r="C89">
            <v>30</v>
          </cell>
          <cell r="D89">
            <v>150</v>
          </cell>
          <cell r="E89" t="str">
            <v>DIARISTA DIURNO</v>
          </cell>
          <cell r="F89" t="str">
            <v>DIGITADOR - DIARISTA DIURNO - 30H</v>
          </cell>
          <cell r="G89">
            <v>150</v>
          </cell>
          <cell r="L89">
            <v>6</v>
          </cell>
          <cell r="M89">
            <v>22</v>
          </cell>
          <cell r="N89">
            <v>24</v>
          </cell>
          <cell r="O89">
            <v>6</v>
          </cell>
          <cell r="R89">
            <v>1777.4186213779815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1777.4186213779815</v>
          </cell>
          <cell r="AA89">
            <v>0.81799999999999995</v>
          </cell>
          <cell r="AB89">
            <v>1453.9284322871888</v>
          </cell>
          <cell r="AC89">
            <v>48.37</v>
          </cell>
          <cell r="AD89">
            <v>0</v>
          </cell>
          <cell r="AE89">
            <v>48.37</v>
          </cell>
          <cell r="AF89">
            <v>3.4126437530457241</v>
          </cell>
          <cell r="AG89">
            <v>139.53012477718357</v>
          </cell>
          <cell r="AH89">
            <v>0</v>
          </cell>
          <cell r="AI89">
            <v>0</v>
          </cell>
          <cell r="AJ89">
            <v>7.0000000000000007E-2</v>
          </cell>
          <cell r="AK89">
            <v>277.51530323995257</v>
          </cell>
          <cell r="AL89">
            <v>3700.17</v>
          </cell>
          <cell r="AM89">
            <v>136.36363636363637</v>
          </cell>
          <cell r="AN89">
            <v>541.84</v>
          </cell>
        </row>
        <row r="90">
          <cell r="A90">
            <v>81</v>
          </cell>
          <cell r="B90" t="str">
            <v>DIGITADOR</v>
          </cell>
          <cell r="C90">
            <v>36</v>
          </cell>
          <cell r="D90">
            <v>180</v>
          </cell>
          <cell r="E90" t="str">
            <v>DIARISTA DIURNO</v>
          </cell>
          <cell r="F90" t="str">
            <v>DIGITADOR - DIARISTA DIURNO - 36H</v>
          </cell>
          <cell r="G90">
            <v>180</v>
          </cell>
          <cell r="L90">
            <v>6</v>
          </cell>
          <cell r="M90">
            <v>26</v>
          </cell>
          <cell r="N90">
            <v>24</v>
          </cell>
          <cell r="O90">
            <v>6</v>
          </cell>
          <cell r="R90">
            <v>2132.9023456535779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2132.9023456535779</v>
          </cell>
          <cell r="AA90">
            <v>0.81799999999999995</v>
          </cell>
          <cell r="AB90">
            <v>1744.7141187446266</v>
          </cell>
          <cell r="AC90">
            <v>48.37</v>
          </cell>
          <cell r="AD90">
            <v>0</v>
          </cell>
          <cell r="AE90">
            <v>48.37</v>
          </cell>
          <cell r="AF90">
            <v>4.0951725036548687</v>
          </cell>
          <cell r="AG90">
            <v>127.31948306595362</v>
          </cell>
          <cell r="AH90">
            <v>0</v>
          </cell>
          <cell r="AI90">
            <v>0</v>
          </cell>
          <cell r="AJ90">
            <v>7.0000000000000007E-2</v>
          </cell>
          <cell r="AK90">
            <v>321.94719408402153</v>
          </cell>
          <cell r="AL90">
            <v>4379.34</v>
          </cell>
          <cell r="AM90">
            <v>163.63636363636365</v>
          </cell>
          <cell r="AN90">
            <v>640.36</v>
          </cell>
        </row>
        <row r="91">
          <cell r="A91">
            <v>83</v>
          </cell>
          <cell r="B91" t="str">
            <v>DIGITADOR</v>
          </cell>
          <cell r="C91">
            <v>36</v>
          </cell>
          <cell r="D91">
            <v>180</v>
          </cell>
          <cell r="E91" t="str">
            <v>ESCALA NOTURNA</v>
          </cell>
          <cell r="F91" t="str">
            <v>DIGITADOR (0H ÀS 6H) - ESCALA NOTURNA - 36H</v>
          </cell>
          <cell r="G91">
            <v>180</v>
          </cell>
          <cell r="H91" t="str">
            <v>(0H ÀS 6H)</v>
          </cell>
          <cell r="K91" t="str">
            <v>x</v>
          </cell>
          <cell r="L91">
            <v>6</v>
          </cell>
          <cell r="M91">
            <v>26</v>
          </cell>
          <cell r="N91">
            <v>24</v>
          </cell>
          <cell r="O91">
            <v>6</v>
          </cell>
          <cell r="P91">
            <v>5</v>
          </cell>
          <cell r="Q91">
            <v>1</v>
          </cell>
          <cell r="R91">
            <v>2132.9023456535779</v>
          </cell>
          <cell r="S91">
            <v>0</v>
          </cell>
          <cell r="T91">
            <v>707.3408968003879</v>
          </cell>
          <cell r="U91">
            <v>10.808116067627976</v>
          </cell>
          <cell r="V91">
            <v>57.900604420677624</v>
          </cell>
          <cell r="W91">
            <v>0</v>
          </cell>
          <cell r="X91">
            <v>96.276841991307336</v>
          </cell>
          <cell r="Y91">
            <v>0</v>
          </cell>
          <cell r="Z91">
            <v>3005.2288049335784</v>
          </cell>
          <cell r="AA91">
            <v>0.81799999999999995</v>
          </cell>
          <cell r="AB91">
            <v>2458.2771624356669</v>
          </cell>
          <cell r="AC91">
            <v>48.37</v>
          </cell>
          <cell r="AD91">
            <v>0</v>
          </cell>
          <cell r="AE91">
            <v>48.37</v>
          </cell>
          <cell r="AF91">
            <v>4.0951725036548687</v>
          </cell>
          <cell r="AG91">
            <v>127.31948306595362</v>
          </cell>
          <cell r="AH91">
            <v>0</v>
          </cell>
          <cell r="AI91">
            <v>0</v>
          </cell>
          <cell r="AJ91">
            <v>7.0000000000000007E-2</v>
          </cell>
          <cell r="AK91">
            <v>432.95945929199439</v>
          </cell>
          <cell r="AL91">
            <v>6076.25</v>
          </cell>
          <cell r="AM91">
            <v>163.63636363636365</v>
          </cell>
          <cell r="AN91">
            <v>640.36</v>
          </cell>
        </row>
        <row r="92">
          <cell r="A92">
            <v>85</v>
          </cell>
          <cell r="B92" t="str">
            <v>DIGITADOR</v>
          </cell>
          <cell r="C92">
            <v>36</v>
          </cell>
          <cell r="D92">
            <v>180</v>
          </cell>
          <cell r="E92" t="str">
            <v>ESCALA NOTURNA</v>
          </cell>
          <cell r="F92" t="str">
            <v>DIGITADOR (18H ÀS 0H) - ESCALA NOTURNA - 36H</v>
          </cell>
          <cell r="G92">
            <v>180</v>
          </cell>
          <cell r="H92" t="str">
            <v>(18H ÀS 0H)</v>
          </cell>
          <cell r="K92" t="str">
            <v>x</v>
          </cell>
          <cell r="L92">
            <v>6</v>
          </cell>
          <cell r="M92">
            <v>26</v>
          </cell>
          <cell r="N92">
            <v>24</v>
          </cell>
          <cell r="O92">
            <v>6</v>
          </cell>
          <cell r="P92">
            <v>2</v>
          </cell>
          <cell r="R92">
            <v>2132.9023456535779</v>
          </cell>
          <cell r="S92">
            <v>0</v>
          </cell>
          <cell r="T92">
            <v>282.93635872015523</v>
          </cell>
          <cell r="U92">
            <v>0</v>
          </cell>
          <cell r="V92">
            <v>23.160241768271042</v>
          </cell>
          <cell r="W92">
            <v>0</v>
          </cell>
          <cell r="X92">
            <v>96.276841991307336</v>
          </cell>
          <cell r="Y92">
            <v>0</v>
          </cell>
          <cell r="Z92">
            <v>2535.2757881333114</v>
          </cell>
          <cell r="AA92">
            <v>0.81799999999999995</v>
          </cell>
          <cell r="AB92">
            <v>2073.8555946930487</v>
          </cell>
          <cell r="AC92">
            <v>48.37</v>
          </cell>
          <cell r="AD92">
            <v>0</v>
          </cell>
          <cell r="AE92">
            <v>48.37</v>
          </cell>
          <cell r="AF92">
            <v>4.0951725036548687</v>
          </cell>
          <cell r="AG92">
            <v>127.31948306595362</v>
          </cell>
          <cell r="AH92">
            <v>0</v>
          </cell>
          <cell r="AI92">
            <v>0</v>
          </cell>
          <cell r="AJ92">
            <v>7.0000000000000007E-2</v>
          </cell>
          <cell r="AK92">
            <v>373.15323837399245</v>
          </cell>
          <cell r="AL92">
            <v>5162.0600000000004</v>
          </cell>
          <cell r="AM92">
            <v>163.63636363636365</v>
          </cell>
          <cell r="AN92">
            <v>640.36</v>
          </cell>
        </row>
        <row r="93">
          <cell r="A93">
            <v>1214</v>
          </cell>
          <cell r="B93" t="str">
            <v>EDUCADOR INFANTIL</v>
          </cell>
          <cell r="C93">
            <v>44</v>
          </cell>
          <cell r="D93">
            <v>220</v>
          </cell>
          <cell r="E93" t="str">
            <v>DIARISTA DIURNO</v>
          </cell>
          <cell r="F93" t="str">
            <v>EDUCADOR INFANTIL - DIARISTA DIURNO - 44H</v>
          </cell>
          <cell r="G93">
            <v>220</v>
          </cell>
          <cell r="L93">
            <v>8</v>
          </cell>
          <cell r="M93">
            <v>22</v>
          </cell>
          <cell r="N93">
            <v>24</v>
          </cell>
          <cell r="O93">
            <v>6</v>
          </cell>
          <cell r="R93">
            <v>2415.4769740259735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2415.4769740259735</v>
          </cell>
          <cell r="AA93">
            <v>0.81799999999999995</v>
          </cell>
          <cell r="AB93">
            <v>1975.8601647532462</v>
          </cell>
          <cell r="AC93">
            <v>9.27</v>
          </cell>
          <cell r="AD93">
            <v>5.7163636363636376</v>
          </cell>
          <cell r="AE93">
            <v>14.986363636363638</v>
          </cell>
          <cell r="AF93">
            <v>4.6377157901298691</v>
          </cell>
          <cell r="AG93">
            <v>201.60805194805195</v>
          </cell>
          <cell r="AH93">
            <v>0</v>
          </cell>
          <cell r="AI93">
            <v>0</v>
          </cell>
          <cell r="AJ93">
            <v>7.0000000000000007E-2</v>
          </cell>
          <cell r="AK93">
            <v>361.49044891076363</v>
          </cell>
          <cell r="AL93">
            <v>4974.05</v>
          </cell>
          <cell r="AM93">
            <v>200.00000000000003</v>
          </cell>
          <cell r="AN93">
            <v>551.58000000000004</v>
          </cell>
        </row>
        <row r="94">
          <cell r="A94">
            <v>122</v>
          </cell>
          <cell r="B94" t="str">
            <v>ELETRICISTA</v>
          </cell>
          <cell r="C94">
            <v>44</v>
          </cell>
          <cell r="D94">
            <v>210</v>
          </cell>
          <cell r="E94" t="str">
            <v>12x36 DIURNO</v>
          </cell>
          <cell r="F94" t="str">
            <v>ELETRICISTA - (PERIC.) - 12x36 DIURNO - 44H</v>
          </cell>
          <cell r="G94">
            <v>210</v>
          </cell>
          <cell r="I94" t="str">
            <v>X</v>
          </cell>
          <cell r="L94">
            <v>12</v>
          </cell>
          <cell r="M94">
            <v>15.22</v>
          </cell>
          <cell r="N94">
            <v>24</v>
          </cell>
          <cell r="O94">
            <v>6</v>
          </cell>
          <cell r="R94">
            <v>2638.4812900000002</v>
          </cell>
          <cell r="S94">
            <v>791.54438700000003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4.7639245513888886</v>
          </cell>
          <cell r="Z94">
            <v>3434.7896015513888</v>
          </cell>
          <cell r="AA94">
            <v>0.81799999999999995</v>
          </cell>
          <cell r="AB94">
            <v>2809.657894069036</v>
          </cell>
          <cell r="AC94">
            <v>19.18</v>
          </cell>
          <cell r="AD94">
            <v>64.42014814814813</v>
          </cell>
          <cell r="AE94">
            <v>83.600148148148122</v>
          </cell>
          <cell r="AF94">
            <v>5.0658840767999997</v>
          </cell>
          <cell r="AG94">
            <v>136.48266666666666</v>
          </cell>
          <cell r="AH94">
            <v>3.3072038509329153E-2</v>
          </cell>
          <cell r="AI94">
            <v>232.20460948568729</v>
          </cell>
          <cell r="AJ94">
            <v>7.0000000000000007E-2</v>
          </cell>
          <cell r="AK94">
            <v>507.73665627984093</v>
          </cell>
          <cell r="AL94">
            <v>7209.53</v>
          </cell>
          <cell r="AM94">
            <v>200.00000000000003</v>
          </cell>
          <cell r="AN94">
            <v>551.58000000000004</v>
          </cell>
        </row>
        <row r="95">
          <cell r="A95">
            <v>123</v>
          </cell>
          <cell r="B95" t="str">
            <v>ELETRICISTA</v>
          </cell>
          <cell r="C95">
            <v>44</v>
          </cell>
          <cell r="D95">
            <v>210</v>
          </cell>
          <cell r="E95" t="str">
            <v>12x36 NOTURNO</v>
          </cell>
          <cell r="F95" t="str">
            <v>ELETRICISTA - (PERIC.) - 12x36 NOTURNO - 44H</v>
          </cell>
          <cell r="G95">
            <v>210</v>
          </cell>
          <cell r="I95" t="str">
            <v>X</v>
          </cell>
          <cell r="L95">
            <v>12</v>
          </cell>
          <cell r="M95">
            <v>15.22</v>
          </cell>
          <cell r="N95">
            <v>24</v>
          </cell>
          <cell r="O95">
            <v>6</v>
          </cell>
          <cell r="P95">
            <v>7</v>
          </cell>
          <cell r="Q95">
            <v>2</v>
          </cell>
          <cell r="R95">
            <v>2638.4812900000002</v>
          </cell>
          <cell r="S95">
            <v>791.54438700000003</v>
          </cell>
          <cell r="T95">
            <v>799.05692291785704</v>
          </cell>
          <cell r="U95">
            <v>17.442185851270821</v>
          </cell>
          <cell r="V95">
            <v>65.408177319806498</v>
          </cell>
          <cell r="W95">
            <v>0</v>
          </cell>
          <cell r="X95">
            <v>0</v>
          </cell>
          <cell r="Y95">
            <v>4.7639245513888886</v>
          </cell>
          <cell r="Z95">
            <v>4316.6968876403234</v>
          </cell>
          <cell r="AA95">
            <v>0.81799999999999995</v>
          </cell>
          <cell r="AB95">
            <v>3531.0580540897845</v>
          </cell>
          <cell r="AC95">
            <v>19.18</v>
          </cell>
          <cell r="AD95">
            <v>64.42014814814813</v>
          </cell>
          <cell r="AE95">
            <v>83.600148148148122</v>
          </cell>
          <cell r="AF95">
            <v>5.0658840767999997</v>
          </cell>
          <cell r="AG95">
            <v>136.48266666666666</v>
          </cell>
          <cell r="AH95">
            <v>3.3072038509329153E-2</v>
          </cell>
          <cell r="AI95">
            <v>285.22925508572092</v>
          </cell>
          <cell r="AJ95">
            <v>7.0000000000000007E-2</v>
          </cell>
          <cell r="AK95">
            <v>623.67990269952099</v>
          </cell>
          <cell r="AL95">
            <v>8981.81</v>
          </cell>
          <cell r="AM95">
            <v>200.00000000000003</v>
          </cell>
          <cell r="AN95">
            <v>551.58000000000004</v>
          </cell>
        </row>
        <row r="96">
          <cell r="A96">
            <v>120</v>
          </cell>
          <cell r="B96" t="str">
            <v>ELETRICISTA</v>
          </cell>
          <cell r="C96">
            <v>40</v>
          </cell>
          <cell r="D96">
            <v>200</v>
          </cell>
          <cell r="E96" t="str">
            <v>DIARISTA DIURNO</v>
          </cell>
          <cell r="F96" t="str">
            <v>ELETRICISTA - (PERIC.) - DIARISTA DIURNO - 40H</v>
          </cell>
          <cell r="G96">
            <v>200</v>
          </cell>
          <cell r="I96" t="str">
            <v>X</v>
          </cell>
          <cell r="L96">
            <v>8</v>
          </cell>
          <cell r="M96">
            <v>22</v>
          </cell>
          <cell r="N96">
            <v>24</v>
          </cell>
          <cell r="O96">
            <v>6</v>
          </cell>
          <cell r="R96">
            <v>2398.6193545454548</v>
          </cell>
          <cell r="S96">
            <v>719.58580636363638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3118.2051609090913</v>
          </cell>
          <cell r="AA96">
            <v>0.81799999999999995</v>
          </cell>
          <cell r="AB96">
            <v>2550.6918216236363</v>
          </cell>
          <cell r="AC96">
            <v>19.18</v>
          </cell>
          <cell r="AD96">
            <v>64.42014814814813</v>
          </cell>
          <cell r="AE96">
            <v>83.600148148148122</v>
          </cell>
          <cell r="AF96">
            <v>4.6053491607272727</v>
          </cell>
          <cell r="AG96">
            <v>144.17587878787879</v>
          </cell>
          <cell r="AH96">
            <v>3.3072038509329153E-2</v>
          </cell>
          <cell r="AI96">
            <v>213.40918013184074</v>
          </cell>
          <cell r="AJ96">
            <v>7.0000000000000007E-2</v>
          </cell>
          <cell r="AK96">
            <v>466.63872771329261</v>
          </cell>
          <cell r="AL96">
            <v>6581.32</v>
          </cell>
          <cell r="AM96">
            <v>181.81818181818184</v>
          </cell>
          <cell r="AN96">
            <v>551.58000000000004</v>
          </cell>
        </row>
        <row r="97">
          <cell r="A97">
            <v>119</v>
          </cell>
          <cell r="B97" t="str">
            <v>ELETRICISTA</v>
          </cell>
          <cell r="C97">
            <v>44</v>
          </cell>
          <cell r="D97">
            <v>220</v>
          </cell>
          <cell r="E97" t="str">
            <v>DIARISTA DIURNO</v>
          </cell>
          <cell r="F97" t="str">
            <v>ELETRICISTA - (PERIC.) - DIARISTA DIURNO - 44H</v>
          </cell>
          <cell r="G97">
            <v>220</v>
          </cell>
          <cell r="I97" t="str">
            <v>X</v>
          </cell>
          <cell r="L97">
            <v>8</v>
          </cell>
          <cell r="M97">
            <v>22</v>
          </cell>
          <cell r="N97">
            <v>24</v>
          </cell>
          <cell r="O97">
            <v>6</v>
          </cell>
          <cell r="R97">
            <v>2638.4812900000002</v>
          </cell>
          <cell r="S97">
            <v>791.54438700000003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3430.0256770000001</v>
          </cell>
          <cell r="AA97">
            <v>0.81799999999999995</v>
          </cell>
          <cell r="AB97">
            <v>2805.7610037859999</v>
          </cell>
          <cell r="AC97">
            <v>19.18</v>
          </cell>
          <cell r="AD97">
            <v>64.42014814814813</v>
          </cell>
          <cell r="AE97">
            <v>83.600148148148122</v>
          </cell>
          <cell r="AF97">
            <v>5.0658840767999997</v>
          </cell>
          <cell r="AG97">
            <v>136.48266666666666</v>
          </cell>
          <cell r="AH97">
            <v>3.3072038509329153E-2</v>
          </cell>
          <cell r="AI97">
            <v>231.91817868396103</v>
          </cell>
          <cell r="AJ97">
            <v>7.0000000000000007E-2</v>
          </cell>
          <cell r="AK97">
            <v>507.11034908531036</v>
          </cell>
          <cell r="AL97">
            <v>7199.96</v>
          </cell>
          <cell r="AM97">
            <v>200.00000000000003</v>
          </cell>
          <cell r="AN97">
            <v>551.58000000000004</v>
          </cell>
        </row>
        <row r="98">
          <cell r="A98">
            <v>1170</v>
          </cell>
          <cell r="B98" t="str">
            <v>ENCARREGADO</v>
          </cell>
          <cell r="C98">
            <v>44</v>
          </cell>
          <cell r="D98">
            <v>210</v>
          </cell>
          <cell r="E98" t="str">
            <v>12x36 DIURNO</v>
          </cell>
          <cell r="F98" t="str">
            <v>ENCARREGADO - 12x36 DIURNO</v>
          </cell>
          <cell r="G98">
            <v>210</v>
          </cell>
          <cell r="L98">
            <v>12</v>
          </cell>
          <cell r="M98">
            <v>15.22</v>
          </cell>
          <cell r="N98">
            <v>24</v>
          </cell>
          <cell r="O98">
            <v>6</v>
          </cell>
          <cell r="R98">
            <v>2708.6688517628227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3.7620400718928093</v>
          </cell>
          <cell r="Z98">
            <v>2712.4308918347156</v>
          </cell>
          <cell r="AA98">
            <v>0.81799999999999995</v>
          </cell>
          <cell r="AB98">
            <v>2218.7684695207972</v>
          </cell>
          <cell r="AC98">
            <v>26.792727272727276</v>
          </cell>
          <cell r="AD98">
            <v>11.958255633255634</v>
          </cell>
          <cell r="AE98">
            <v>38.750982905982909</v>
          </cell>
          <cell r="AF98">
            <v>5.2006441953846192</v>
          </cell>
          <cell r="AG98">
            <v>146.4710351981351</v>
          </cell>
          <cell r="AH98">
            <v>0</v>
          </cell>
          <cell r="AI98">
            <v>0</v>
          </cell>
          <cell r="AJ98">
            <v>7.0000000000000007E-2</v>
          </cell>
          <cell r="AK98">
            <v>397.0033108866204</v>
          </cell>
          <cell r="AL98">
            <v>5518.62</v>
          </cell>
          <cell r="AM98">
            <v>200.00000000000003</v>
          </cell>
          <cell r="AN98">
            <v>549.85</v>
          </cell>
        </row>
        <row r="99">
          <cell r="A99">
            <v>1171</v>
          </cell>
          <cell r="B99" t="str">
            <v>ENCARREGADO</v>
          </cell>
          <cell r="C99">
            <v>44</v>
          </cell>
          <cell r="D99">
            <v>210</v>
          </cell>
          <cell r="E99" t="str">
            <v>12x36 NOTURNO</v>
          </cell>
          <cell r="F99" t="str">
            <v>ENCARREGADO - 12x36 NOTURNO</v>
          </cell>
          <cell r="G99">
            <v>210</v>
          </cell>
          <cell r="L99">
            <v>12</v>
          </cell>
          <cell r="M99">
            <v>15.22</v>
          </cell>
          <cell r="N99">
            <v>24</v>
          </cell>
          <cell r="O99">
            <v>6</v>
          </cell>
          <cell r="P99">
            <v>7</v>
          </cell>
          <cell r="Q99">
            <v>2</v>
          </cell>
          <cell r="R99">
            <v>2708.6688517628227</v>
          </cell>
          <cell r="S99">
            <v>0</v>
          </cell>
          <cell r="T99">
            <v>631.01002782756893</v>
          </cell>
          <cell r="U99">
            <v>13.773980130468713</v>
          </cell>
          <cell r="V99">
            <v>51.652409993530014</v>
          </cell>
          <cell r="W99">
            <v>0</v>
          </cell>
          <cell r="X99">
            <v>0</v>
          </cell>
          <cell r="Y99">
            <v>3.7620400718928093</v>
          </cell>
          <cell r="Z99">
            <v>3408.8673097862834</v>
          </cell>
          <cell r="AA99">
            <v>0.81799999999999995</v>
          </cell>
          <cell r="AB99">
            <v>2788.4534594051797</v>
          </cell>
          <cell r="AC99">
            <v>26.792727272727276</v>
          </cell>
          <cell r="AD99">
            <v>11.958255633255634</v>
          </cell>
          <cell r="AE99">
            <v>38.750982905982909</v>
          </cell>
          <cell r="AF99">
            <v>5.2006441953846192</v>
          </cell>
          <cell r="AG99">
            <v>146.4710351981351</v>
          </cell>
          <cell r="AH99">
            <v>0</v>
          </cell>
          <cell r="AI99">
            <v>0</v>
          </cell>
          <cell r="AJ99">
            <v>7.0000000000000007E-2</v>
          </cell>
          <cell r="AK99">
            <v>485.63180943513692</v>
          </cell>
          <cell r="AL99">
            <v>6873.37</v>
          </cell>
          <cell r="AM99">
            <v>200.00000000000003</v>
          </cell>
          <cell r="AN99">
            <v>549.85</v>
          </cell>
        </row>
        <row r="100">
          <cell r="A100">
            <v>1169</v>
          </cell>
          <cell r="B100" t="str">
            <v>ENCARREGADO</v>
          </cell>
          <cell r="C100">
            <v>40</v>
          </cell>
          <cell r="D100">
            <v>200</v>
          </cell>
          <cell r="E100" t="str">
            <v>DIARISTA DIURNO</v>
          </cell>
          <cell r="F100" t="str">
            <v>ENCARREGADO - (PERIC.) - DIARISTA DIURNO</v>
          </cell>
          <cell r="G100">
            <v>200</v>
          </cell>
          <cell r="I100" t="str">
            <v>X</v>
          </cell>
          <cell r="L100">
            <v>8</v>
          </cell>
          <cell r="M100">
            <v>22</v>
          </cell>
          <cell r="N100">
            <v>24</v>
          </cell>
          <cell r="O100">
            <v>6</v>
          </cell>
          <cell r="R100">
            <v>2708.6688517628227</v>
          </cell>
          <cell r="S100">
            <v>812.6006555288468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3521.2695072916695</v>
          </cell>
          <cell r="AA100">
            <v>0.81799999999999995</v>
          </cell>
          <cell r="AB100">
            <v>2880.3984569645854</v>
          </cell>
          <cell r="AC100">
            <v>26.792727272727276</v>
          </cell>
          <cell r="AD100">
            <v>11.958255633255634</v>
          </cell>
          <cell r="AE100">
            <v>38.750982905982909</v>
          </cell>
          <cell r="AF100">
            <v>5.2006441953846192</v>
          </cell>
          <cell r="AG100">
            <v>146.4710351981351</v>
          </cell>
          <cell r="AH100">
            <v>0</v>
          </cell>
          <cell r="AI100">
            <v>0</v>
          </cell>
          <cell r="AJ100">
            <v>7.0000000000000007E-2</v>
          </cell>
          <cell r="AK100">
            <v>499.93611308967235</v>
          </cell>
          <cell r="AL100">
            <v>7092.02</v>
          </cell>
          <cell r="AM100">
            <v>181.81818181818184</v>
          </cell>
          <cell r="AN100">
            <v>549.85</v>
          </cell>
        </row>
        <row r="101">
          <cell r="A101">
            <v>1172</v>
          </cell>
          <cell r="B101" t="str">
            <v>ENCARREGADO</v>
          </cell>
          <cell r="C101">
            <v>40</v>
          </cell>
          <cell r="D101">
            <v>200</v>
          </cell>
          <cell r="E101" t="str">
            <v>DIARISTA DIURNO</v>
          </cell>
          <cell r="F101" t="str">
            <v>ENCARREGADO - DIARISTA DIURNO</v>
          </cell>
          <cell r="G101">
            <v>200</v>
          </cell>
          <cell r="L101">
            <v>8</v>
          </cell>
          <cell r="M101">
            <v>22</v>
          </cell>
          <cell r="N101">
            <v>24</v>
          </cell>
          <cell r="O101">
            <v>6</v>
          </cell>
          <cell r="R101">
            <v>2708.6688517628227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2708.6688517628227</v>
          </cell>
          <cell r="AA101">
            <v>0.81799999999999995</v>
          </cell>
          <cell r="AB101">
            <v>2215.6911207419889</v>
          </cell>
          <cell r="AC101">
            <v>26.792727272727276</v>
          </cell>
          <cell r="AD101">
            <v>11.958255633255634</v>
          </cell>
          <cell r="AE101">
            <v>38.750982905982909</v>
          </cell>
          <cell r="AF101">
            <v>5.2006441953846192</v>
          </cell>
          <cell r="AG101">
            <v>146.4710351981351</v>
          </cell>
          <cell r="AH101">
            <v>0</v>
          </cell>
          <cell r="AI101">
            <v>0</v>
          </cell>
          <cell r="AJ101">
            <v>7.0000000000000007E-2</v>
          </cell>
          <cell r="AK101">
            <v>396.5245536670713</v>
          </cell>
          <cell r="AL101">
            <v>5511.3</v>
          </cell>
          <cell r="AM101">
            <v>181.81818181818184</v>
          </cell>
          <cell r="AN101">
            <v>549.85</v>
          </cell>
        </row>
        <row r="102">
          <cell r="A102">
            <v>1898</v>
          </cell>
          <cell r="B102" t="str">
            <v>ENCARREGADO DE CAMPO</v>
          </cell>
          <cell r="C102">
            <v>40</v>
          </cell>
          <cell r="D102">
            <v>200</v>
          </cell>
          <cell r="E102" t="str">
            <v>DIARISTA DIURNO</v>
          </cell>
          <cell r="F102" t="str">
            <v>ENCARREGADO DE CAMPO - DIARISTA DIURNO</v>
          </cell>
          <cell r="G102">
            <v>200</v>
          </cell>
          <cell r="L102">
            <v>8</v>
          </cell>
          <cell r="M102">
            <v>22</v>
          </cell>
          <cell r="N102">
            <v>24</v>
          </cell>
          <cell r="O102">
            <v>6</v>
          </cell>
          <cell r="R102">
            <v>2965.7637499999996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2965.7637499999996</v>
          </cell>
          <cell r="AA102">
            <v>0.81799999999999995</v>
          </cell>
          <cell r="AB102">
            <v>2425.9947474999994</v>
          </cell>
          <cell r="AC102">
            <v>26.792727272727276</v>
          </cell>
          <cell r="AD102">
            <v>0</v>
          </cell>
          <cell r="AE102">
            <v>26.792727272727276</v>
          </cell>
          <cell r="AF102">
            <v>5.6942663999999992</v>
          </cell>
          <cell r="AG102">
            <v>372.0545454545454</v>
          </cell>
          <cell r="AH102">
            <v>0</v>
          </cell>
          <cell r="AI102">
            <v>0</v>
          </cell>
          <cell r="AJ102">
            <v>7.0000000000000007E-2</v>
          </cell>
          <cell r="AK102">
            <v>444.35160256390907</v>
          </cell>
          <cell r="AL102">
            <v>6240.65</v>
          </cell>
          <cell r="AM102">
            <v>181.81818181818184</v>
          </cell>
          <cell r="AN102">
            <v>551.58000000000004</v>
          </cell>
        </row>
        <row r="103">
          <cell r="A103">
            <v>1899</v>
          </cell>
          <cell r="B103" t="str">
            <v>ENCARREGADO GERAL</v>
          </cell>
          <cell r="C103">
            <v>40</v>
          </cell>
          <cell r="D103">
            <v>200</v>
          </cell>
          <cell r="E103" t="str">
            <v>DIARISTA DIURNO</v>
          </cell>
          <cell r="F103" t="str">
            <v>ENCARREGADO GERAL - DIARISTA DIURNO</v>
          </cell>
          <cell r="G103">
            <v>200</v>
          </cell>
          <cell r="L103">
            <v>8</v>
          </cell>
          <cell r="M103">
            <v>22</v>
          </cell>
          <cell r="N103">
            <v>24</v>
          </cell>
          <cell r="O103">
            <v>6</v>
          </cell>
          <cell r="R103">
            <v>3558.8949999999995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3558.8949999999995</v>
          </cell>
          <cell r="AA103">
            <v>0.81799999999999995</v>
          </cell>
          <cell r="AB103">
            <v>2911.1761099999994</v>
          </cell>
          <cell r="AC103">
            <v>26.792727272727276</v>
          </cell>
          <cell r="AD103">
            <v>0</v>
          </cell>
          <cell r="AE103">
            <v>26.792727272727276</v>
          </cell>
          <cell r="AF103">
            <v>6.8330783999999989</v>
          </cell>
          <cell r="AG103">
            <v>336.4636363636364</v>
          </cell>
          <cell r="AH103">
            <v>0</v>
          </cell>
          <cell r="AI103">
            <v>0</v>
          </cell>
          <cell r="AJ103">
            <v>7.0000000000000007E-2</v>
          </cell>
          <cell r="AK103">
            <v>517.42183864254548</v>
          </cell>
          <cell r="AL103">
            <v>7357.58</v>
          </cell>
          <cell r="AM103">
            <v>181.81818181818184</v>
          </cell>
          <cell r="AN103">
            <v>551.58000000000004</v>
          </cell>
        </row>
        <row r="104">
          <cell r="A104">
            <v>185</v>
          </cell>
          <cell r="B104" t="str">
            <v>FRENTISTA</v>
          </cell>
          <cell r="C104">
            <v>40</v>
          </cell>
          <cell r="D104">
            <v>200</v>
          </cell>
          <cell r="E104" t="str">
            <v>DIARISTA DIURNO</v>
          </cell>
          <cell r="F104" t="str">
            <v>FRENTISTA - (PERIC.) - DIARISTA DIURNO - 40H</v>
          </cell>
          <cell r="G104">
            <v>200</v>
          </cell>
          <cell r="I104" t="str">
            <v>X</v>
          </cell>
          <cell r="L104">
            <v>8</v>
          </cell>
          <cell r="M104">
            <v>22</v>
          </cell>
          <cell r="N104">
            <v>24</v>
          </cell>
          <cell r="O104">
            <v>6</v>
          </cell>
          <cell r="R104">
            <v>1782.303267155173</v>
          </cell>
          <cell r="S104">
            <v>534.69098014655185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2316.994247301725</v>
          </cell>
          <cell r="AA104">
            <v>0.81799999999999995</v>
          </cell>
          <cell r="AB104">
            <v>1895.301294292811</v>
          </cell>
          <cell r="AC104">
            <v>19.18</v>
          </cell>
          <cell r="AD104">
            <v>27.826082375478929</v>
          </cell>
          <cell r="AE104">
            <v>47.006082375478925</v>
          </cell>
          <cell r="AF104">
            <v>3.4220222729379319</v>
          </cell>
          <cell r="AG104">
            <v>283.14369905956107</v>
          </cell>
          <cell r="AH104">
            <v>3.3884442564035333E-2</v>
          </cell>
          <cell r="AI104">
            <v>172.40952721945456</v>
          </cell>
          <cell r="AJ104">
            <v>7.0000000000000007E-2</v>
          </cell>
          <cell r="AK104">
            <v>368.23999486964135</v>
          </cell>
          <cell r="AL104">
            <v>5086.51</v>
          </cell>
          <cell r="AM104">
            <v>181.81818181818184</v>
          </cell>
          <cell r="AN104">
            <v>542.29</v>
          </cell>
        </row>
        <row r="105">
          <cell r="A105">
            <v>199</v>
          </cell>
          <cell r="B105" t="str">
            <v>GARÇOM</v>
          </cell>
          <cell r="C105">
            <v>44</v>
          </cell>
          <cell r="D105">
            <v>210</v>
          </cell>
          <cell r="E105" t="str">
            <v>12x36 DIURNO</v>
          </cell>
          <cell r="F105" t="str">
            <v>GARÇOM - 12x36 DIURNO - 44H</v>
          </cell>
          <cell r="G105">
            <v>210</v>
          </cell>
          <cell r="L105">
            <v>12</v>
          </cell>
          <cell r="M105">
            <v>15.22</v>
          </cell>
          <cell r="N105">
            <v>24</v>
          </cell>
          <cell r="O105">
            <v>6</v>
          </cell>
          <cell r="R105">
            <v>3397.1390304347829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4.718248653381643</v>
          </cell>
          <cell r="Z105">
            <v>3401.8572790881644</v>
          </cell>
          <cell r="AA105">
            <v>0.81799999999999995</v>
          </cell>
          <cell r="AB105">
            <v>2782.7192542941184</v>
          </cell>
          <cell r="AC105">
            <v>61.998333333333335</v>
          </cell>
          <cell r="AD105">
            <v>0</v>
          </cell>
          <cell r="AE105">
            <v>61.998333333333335</v>
          </cell>
          <cell r="AF105">
            <v>6.5225069384347822</v>
          </cell>
          <cell r="AG105">
            <v>154.63640000000004</v>
          </cell>
          <cell r="AH105">
            <v>3.2407836510060628E-2</v>
          </cell>
          <cell r="AI105">
            <v>225.53630299879356</v>
          </cell>
          <cell r="AJ105">
            <v>7.0000000000000007E-2</v>
          </cell>
          <cell r="AK105">
            <v>502.93950536569918</v>
          </cell>
          <cell r="AL105">
            <v>7136.2</v>
          </cell>
          <cell r="AM105">
            <v>200.00000000000003</v>
          </cell>
          <cell r="AN105">
            <v>551.58000000000004</v>
          </cell>
        </row>
        <row r="106">
          <cell r="A106">
            <v>196</v>
          </cell>
          <cell r="B106" t="str">
            <v>GARÇOM</v>
          </cell>
          <cell r="C106">
            <v>40</v>
          </cell>
          <cell r="D106">
            <v>200</v>
          </cell>
          <cell r="E106" t="str">
            <v>DIARISTA DIURNO</v>
          </cell>
          <cell r="F106" t="str">
            <v>GARÇOM - DIARISTA DIURNO - 40H</v>
          </cell>
          <cell r="G106">
            <v>200</v>
          </cell>
          <cell r="L106">
            <v>8</v>
          </cell>
          <cell r="M106">
            <v>22</v>
          </cell>
          <cell r="N106">
            <v>24</v>
          </cell>
          <cell r="O106">
            <v>6</v>
          </cell>
          <cell r="R106">
            <v>3088.3082094861666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3088.3082094861666</v>
          </cell>
          <cell r="AA106">
            <v>0.81799999999999995</v>
          </cell>
          <cell r="AB106">
            <v>2526.2361153596839</v>
          </cell>
          <cell r="AC106">
            <v>61.998333333333335</v>
          </cell>
          <cell r="AD106">
            <v>0</v>
          </cell>
          <cell r="AE106">
            <v>61.998333333333335</v>
          </cell>
          <cell r="AF106">
            <v>5.929551762213439</v>
          </cell>
          <cell r="AG106">
            <v>166.14122213438742</v>
          </cell>
          <cell r="AH106">
            <v>3.2407836510060628E-2</v>
          </cell>
          <cell r="AI106">
            <v>207.41642237947582</v>
          </cell>
          <cell r="AJ106">
            <v>7.0000000000000007E-2</v>
          </cell>
          <cell r="AK106">
            <v>462.53268981186824</v>
          </cell>
          <cell r="AL106">
            <v>6518.56</v>
          </cell>
          <cell r="AM106">
            <v>181.81818181818184</v>
          </cell>
          <cell r="AN106">
            <v>551.58000000000004</v>
          </cell>
        </row>
        <row r="107">
          <cell r="A107">
            <v>195</v>
          </cell>
          <cell r="B107" t="str">
            <v>GARÇOM</v>
          </cell>
          <cell r="C107">
            <v>44</v>
          </cell>
          <cell r="D107">
            <v>220</v>
          </cell>
          <cell r="E107" t="str">
            <v>DIARISTA DIURNO</v>
          </cell>
          <cell r="F107" t="str">
            <v>GARÇOM - DIARISTA DIURNO - 44H</v>
          </cell>
          <cell r="G107">
            <v>220</v>
          </cell>
          <cell r="L107">
            <v>8</v>
          </cell>
          <cell r="M107">
            <v>22</v>
          </cell>
          <cell r="N107">
            <v>24</v>
          </cell>
          <cell r="O107">
            <v>6</v>
          </cell>
          <cell r="R107">
            <v>3397.1390304347829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3397.1390304347829</v>
          </cell>
          <cell r="AA107">
            <v>0.81799999999999995</v>
          </cell>
          <cell r="AB107">
            <v>2778.8597268956523</v>
          </cell>
          <cell r="AC107">
            <v>61.998333333333335</v>
          </cell>
          <cell r="AD107">
            <v>0</v>
          </cell>
          <cell r="AE107">
            <v>61.998333333333335</v>
          </cell>
          <cell r="AF107">
            <v>6.5225069384347822</v>
          </cell>
          <cell r="AG107">
            <v>154.63640000000004</v>
          </cell>
          <cell r="AH107">
            <v>3.2407836510060628E-2</v>
          </cell>
          <cell r="AI107">
            <v>225.25831583488537</v>
          </cell>
          <cell r="AJ107">
            <v>7.0000000000000007E-2</v>
          </cell>
          <cell r="AK107">
            <v>502.31960194059627</v>
          </cell>
          <cell r="AL107">
            <v>7126.73</v>
          </cell>
          <cell r="AM107">
            <v>200.00000000000003</v>
          </cell>
          <cell r="AN107">
            <v>551.58000000000004</v>
          </cell>
        </row>
        <row r="108">
          <cell r="A108">
            <v>2010</v>
          </cell>
          <cell r="B108" t="str">
            <v>GESTOR OPERACIONAL</v>
          </cell>
          <cell r="C108">
            <v>40</v>
          </cell>
          <cell r="D108">
            <v>200</v>
          </cell>
          <cell r="E108" t="str">
            <v>DIARISTA DIURNO</v>
          </cell>
          <cell r="F108" t="str">
            <v>GESTOR OPERACIONAL - DIARISTA DIURNO</v>
          </cell>
          <cell r="G108">
            <v>200</v>
          </cell>
          <cell r="L108">
            <v>8</v>
          </cell>
          <cell r="M108">
            <v>22</v>
          </cell>
          <cell r="N108">
            <v>24</v>
          </cell>
          <cell r="O108">
            <v>6</v>
          </cell>
          <cell r="R108">
            <v>6190.5104651162783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6190.5104651162783</v>
          </cell>
          <cell r="AA108">
            <v>0.81799999999999995</v>
          </cell>
          <cell r="AB108">
            <v>5063.8375604651155</v>
          </cell>
          <cell r="AC108">
            <v>0</v>
          </cell>
          <cell r="AD108">
            <v>0</v>
          </cell>
          <cell r="AE108">
            <v>0</v>
          </cell>
          <cell r="AF108">
            <v>9.6</v>
          </cell>
          <cell r="AG108">
            <v>41.997107438016528</v>
          </cell>
          <cell r="AH108">
            <v>0</v>
          </cell>
          <cell r="AI108">
            <v>0</v>
          </cell>
          <cell r="AJ108">
            <v>7.0000000000000007E-2</v>
          </cell>
          <cell r="AK108">
            <v>829.72661840226795</v>
          </cell>
          <cell r="AL108">
            <v>12135.67</v>
          </cell>
          <cell r="AM108">
            <v>181.81818181818184</v>
          </cell>
          <cell r="AN108">
            <v>547.29</v>
          </cell>
        </row>
        <row r="109">
          <cell r="A109">
            <v>406</v>
          </cell>
          <cell r="B109" t="str">
            <v>JARDINEIRO</v>
          </cell>
          <cell r="C109">
            <v>44</v>
          </cell>
          <cell r="D109">
            <v>210</v>
          </cell>
          <cell r="E109" t="str">
            <v>12x36 DIURNO</v>
          </cell>
          <cell r="F109" t="str">
            <v>JARDINEIRO - 12x36 DIURNO - 44H</v>
          </cell>
          <cell r="G109">
            <v>210</v>
          </cell>
          <cell r="L109">
            <v>12</v>
          </cell>
          <cell r="M109">
            <v>15.22</v>
          </cell>
          <cell r="N109">
            <v>24</v>
          </cell>
          <cell r="O109">
            <v>6</v>
          </cell>
          <cell r="R109">
            <v>2556.9576634146338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3.5513300880758805</v>
          </cell>
          <cell r="Z109">
            <v>2560.5089935027095</v>
          </cell>
          <cell r="AA109">
            <v>0.81799999999999995</v>
          </cell>
          <cell r="AB109">
            <v>2094.4963566852161</v>
          </cell>
          <cell r="AC109">
            <v>31.89</v>
          </cell>
          <cell r="AD109">
            <v>58.869660014781957</v>
          </cell>
          <cell r="AE109">
            <v>90.759660014781957</v>
          </cell>
          <cell r="AF109">
            <v>4.9093587137560961</v>
          </cell>
          <cell r="AG109">
            <v>236.46946341463413</v>
          </cell>
          <cell r="AH109">
            <v>0</v>
          </cell>
          <cell r="AI109">
            <v>0</v>
          </cell>
          <cell r="AJ109">
            <v>7.0000000000000007E-2</v>
          </cell>
          <cell r="AK109">
            <v>387.71066826317696</v>
          </cell>
          <cell r="AL109">
            <v>5374.85</v>
          </cell>
          <cell r="AM109">
            <v>200.00000000000003</v>
          </cell>
          <cell r="AN109">
            <v>551.58000000000004</v>
          </cell>
        </row>
        <row r="110">
          <cell r="A110">
            <v>1900</v>
          </cell>
          <cell r="B110" t="str">
            <v>JARDINEIRO</v>
          </cell>
          <cell r="C110">
            <v>40</v>
          </cell>
          <cell r="D110">
            <v>200</v>
          </cell>
          <cell r="E110" t="str">
            <v>DIARISTA DIURNO</v>
          </cell>
          <cell r="F110" t="str">
            <v>JARDINEIRO - (PERIC.) - DIARISTA DIURNO - 40H</v>
          </cell>
          <cell r="G110">
            <v>200</v>
          </cell>
          <cell r="I110" t="str">
            <v>x</v>
          </cell>
          <cell r="L110">
            <v>8</v>
          </cell>
          <cell r="M110">
            <v>22</v>
          </cell>
          <cell r="N110">
            <v>24</v>
          </cell>
          <cell r="O110">
            <v>6</v>
          </cell>
          <cell r="R110">
            <v>2324.506966740576</v>
          </cell>
          <cell r="S110">
            <v>697.35209002217277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3021.8590567627489</v>
          </cell>
          <cell r="AA110">
            <v>0.81799999999999995</v>
          </cell>
          <cell r="AB110">
            <v>2471.8807084319283</v>
          </cell>
          <cell r="AC110">
            <v>31.89</v>
          </cell>
          <cell r="AD110">
            <v>58.869660014781957</v>
          </cell>
          <cell r="AE110">
            <v>90.759660014781957</v>
          </cell>
          <cell r="AF110">
            <v>4.4630533761419056</v>
          </cell>
          <cell r="AG110">
            <v>245.6109711751663</v>
          </cell>
          <cell r="AH110">
            <v>0</v>
          </cell>
          <cell r="AI110">
            <v>0</v>
          </cell>
          <cell r="AJ110">
            <v>7.0000000000000007E-2</v>
          </cell>
          <cell r="AK110">
            <v>447.03074148325379</v>
          </cell>
          <cell r="AL110">
            <v>6281.6</v>
          </cell>
          <cell r="AM110">
            <v>181.81818181818184</v>
          </cell>
          <cell r="AN110">
            <v>551.58000000000004</v>
          </cell>
        </row>
        <row r="111">
          <cell r="A111">
            <v>234</v>
          </cell>
          <cell r="B111" t="str">
            <v>JARDINEIRO</v>
          </cell>
          <cell r="C111">
            <v>40</v>
          </cell>
          <cell r="D111">
            <v>200</v>
          </cell>
          <cell r="E111" t="str">
            <v>DIARISTA DIURNO</v>
          </cell>
          <cell r="F111" t="str">
            <v>JARDINEIRO - DIARISTA DIURNO - 40H</v>
          </cell>
          <cell r="G111">
            <v>200</v>
          </cell>
          <cell r="L111">
            <v>8</v>
          </cell>
          <cell r="M111">
            <v>22</v>
          </cell>
          <cell r="N111">
            <v>24</v>
          </cell>
          <cell r="O111">
            <v>6</v>
          </cell>
          <cell r="R111">
            <v>2324.506966740576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2324.506966740576</v>
          </cell>
          <cell r="AA111">
            <v>0.81799999999999995</v>
          </cell>
          <cell r="AB111">
            <v>1901.446698793791</v>
          </cell>
          <cell r="AC111">
            <v>31.89</v>
          </cell>
          <cell r="AD111">
            <v>58.869660014781957</v>
          </cell>
          <cell r="AE111">
            <v>90.759660014781957</v>
          </cell>
          <cell r="AF111">
            <v>4.4630533761419056</v>
          </cell>
          <cell r="AG111">
            <v>245.6109711751663</v>
          </cell>
          <cell r="AH111">
            <v>0</v>
          </cell>
          <cell r="AI111">
            <v>0</v>
          </cell>
          <cell r="AJ111">
            <v>7.0000000000000007E-2</v>
          </cell>
          <cell r="AK111">
            <v>358.28571450703208</v>
          </cell>
          <cell r="AL111">
            <v>4925.07</v>
          </cell>
          <cell r="AM111">
            <v>181.81818181818184</v>
          </cell>
          <cell r="AN111">
            <v>551.58000000000004</v>
          </cell>
        </row>
        <row r="112">
          <cell r="A112">
            <v>233</v>
          </cell>
          <cell r="B112" t="str">
            <v>JARDINEIRO</v>
          </cell>
          <cell r="C112">
            <v>44</v>
          </cell>
          <cell r="D112">
            <v>220</v>
          </cell>
          <cell r="E112" t="str">
            <v>DIARISTA DIURNO</v>
          </cell>
          <cell r="F112" t="str">
            <v>JARDINEIRO - DIARISTA DIURNO - 44H</v>
          </cell>
          <cell r="G112">
            <v>220</v>
          </cell>
          <cell r="L112">
            <v>8</v>
          </cell>
          <cell r="M112">
            <v>22</v>
          </cell>
          <cell r="N112">
            <v>24</v>
          </cell>
          <cell r="O112">
            <v>6</v>
          </cell>
          <cell r="R112">
            <v>2556.9576634146338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2556.9576634146338</v>
          </cell>
          <cell r="AA112">
            <v>0.81799999999999995</v>
          </cell>
          <cell r="AB112">
            <v>2091.5913686731701</v>
          </cell>
          <cell r="AC112">
            <v>31.89</v>
          </cell>
          <cell r="AD112">
            <v>58.869660014781957</v>
          </cell>
          <cell r="AE112">
            <v>90.759660014781957</v>
          </cell>
          <cell r="AF112">
            <v>4.9093587137560961</v>
          </cell>
          <cell r="AG112">
            <v>236.46946341463413</v>
          </cell>
          <cell r="AH112">
            <v>0</v>
          </cell>
          <cell r="AI112">
            <v>0</v>
          </cell>
          <cell r="AJ112">
            <v>7.0000000000000007E-2</v>
          </cell>
          <cell r="AK112">
            <v>387.25872599616838</v>
          </cell>
          <cell r="AL112">
            <v>5367.94</v>
          </cell>
          <cell r="AM112">
            <v>200.00000000000003</v>
          </cell>
          <cell r="AN112">
            <v>551.58000000000004</v>
          </cell>
        </row>
        <row r="113">
          <cell r="A113">
            <v>1901</v>
          </cell>
          <cell r="B113" t="str">
            <v>LABORATORISTA</v>
          </cell>
          <cell r="C113">
            <v>40</v>
          </cell>
          <cell r="D113">
            <v>200</v>
          </cell>
          <cell r="E113" t="str">
            <v>DIARISTA DIURNO</v>
          </cell>
          <cell r="F113" t="str">
            <v>LABORATORISTA - DIARISTA DIURNO - 40H</v>
          </cell>
          <cell r="G113">
            <v>200</v>
          </cell>
          <cell r="L113">
            <v>8</v>
          </cell>
          <cell r="M113">
            <v>22</v>
          </cell>
          <cell r="N113">
            <v>24</v>
          </cell>
          <cell r="O113">
            <v>6</v>
          </cell>
          <cell r="R113">
            <v>2551.19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2551.19</v>
          </cell>
          <cell r="AA113">
            <v>0.81799999999999995</v>
          </cell>
          <cell r="AB113">
            <v>2086.8734199999999</v>
          </cell>
          <cell r="AC113">
            <v>30.354545454545452</v>
          </cell>
          <cell r="AD113">
            <v>78.61</v>
          </cell>
          <cell r="AE113">
            <v>108.96454545454546</v>
          </cell>
          <cell r="AF113">
            <v>4.8982847999999999</v>
          </cell>
          <cell r="AG113">
            <v>352.81727272727272</v>
          </cell>
          <cell r="AH113">
            <v>0</v>
          </cell>
          <cell r="AI113">
            <v>0</v>
          </cell>
          <cell r="AJ113">
            <v>7.0000000000000007E-2</v>
          </cell>
          <cell r="AK113">
            <v>395.94264660872733</v>
          </cell>
          <cell r="AL113">
            <v>5500.68</v>
          </cell>
          <cell r="AM113">
            <v>181.81818181818184</v>
          </cell>
          <cell r="AN113">
            <v>551.58000000000004</v>
          </cell>
        </row>
        <row r="114">
          <cell r="A114">
            <v>1394</v>
          </cell>
          <cell r="B114" t="str">
            <v>MANUTENÇÃO DE ÁREAS VERDES E VIVEIROS</v>
          </cell>
          <cell r="C114">
            <v>40</v>
          </cell>
          <cell r="D114">
            <v>200</v>
          </cell>
          <cell r="E114" t="str">
            <v>DIARISTA DIURNO</v>
          </cell>
          <cell r="F114" t="str">
            <v>MANUTENÇÃO DE ÁREAS VERDES E VIVEIROS - (PERIC.) - DIARISTA DIURNO - 40H</v>
          </cell>
          <cell r="G114">
            <v>200</v>
          </cell>
          <cell r="I114" t="str">
            <v>X</v>
          </cell>
          <cell r="L114">
            <v>8</v>
          </cell>
          <cell r="M114">
            <v>22</v>
          </cell>
          <cell r="N114">
            <v>24</v>
          </cell>
          <cell r="O114">
            <v>6</v>
          </cell>
          <cell r="R114">
            <v>1697.2426193826798</v>
          </cell>
          <cell r="S114">
            <v>509.17278581480389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2206.4154051974838</v>
          </cell>
          <cell r="AA114">
            <v>0.81799999999999995</v>
          </cell>
          <cell r="AB114">
            <v>1804.8478014515417</v>
          </cell>
          <cell r="AC114">
            <v>31.89</v>
          </cell>
          <cell r="AD114">
            <v>49.32233415233415</v>
          </cell>
          <cell r="AE114">
            <v>81.212334152334151</v>
          </cell>
          <cell r="AF114">
            <v>3.2587058292147448</v>
          </cell>
          <cell r="AG114">
            <v>161.14670761670766</v>
          </cell>
          <cell r="AH114">
            <v>0</v>
          </cell>
          <cell r="AI114">
            <v>0</v>
          </cell>
          <cell r="AJ114">
            <v>7.0000000000000007E-2</v>
          </cell>
          <cell r="AK114">
            <v>335.57336950001252</v>
          </cell>
          <cell r="AL114">
            <v>4592.45</v>
          </cell>
          <cell r="AM114">
            <v>181.81818181818184</v>
          </cell>
          <cell r="AN114">
            <v>537.02</v>
          </cell>
        </row>
        <row r="115">
          <cell r="A115">
            <v>232</v>
          </cell>
          <cell r="B115" t="str">
            <v>MANUTENÇÃO DE ÁREAS VERDES E VIVEIROS</v>
          </cell>
          <cell r="C115">
            <v>40</v>
          </cell>
          <cell r="D115">
            <v>200</v>
          </cell>
          <cell r="E115" t="str">
            <v>DIARISTA DIURNO</v>
          </cell>
          <cell r="F115" t="str">
            <v>MANUTENÇÃO DE ÁREAS VERDES E VIVEIROS - DIARISTA DIURNO - 40H</v>
          </cell>
          <cell r="G115">
            <v>200</v>
          </cell>
          <cell r="L115">
            <v>8</v>
          </cell>
          <cell r="M115">
            <v>22</v>
          </cell>
          <cell r="N115">
            <v>24</v>
          </cell>
          <cell r="O115">
            <v>6</v>
          </cell>
          <cell r="R115">
            <v>1697.2426193826798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1697.2426193826798</v>
          </cell>
          <cell r="AA115">
            <v>0.81799999999999995</v>
          </cell>
          <cell r="AB115">
            <v>1388.344462655032</v>
          </cell>
          <cell r="AC115">
            <v>31.89</v>
          </cell>
          <cell r="AD115">
            <v>49.32233415233415</v>
          </cell>
          <cell r="AE115">
            <v>81.212334152334151</v>
          </cell>
          <cell r="AF115">
            <v>3.2587058292147448</v>
          </cell>
          <cell r="AG115">
            <v>161.14670761670766</v>
          </cell>
          <cell r="AH115">
            <v>0</v>
          </cell>
          <cell r="AI115">
            <v>0</v>
          </cell>
          <cell r="AJ115">
            <v>7.0000000000000007E-2</v>
          </cell>
          <cell r="AK115">
            <v>270.7760407772206</v>
          </cell>
          <cell r="AL115">
            <v>3601.98</v>
          </cell>
          <cell r="AM115">
            <v>181.81818181818184</v>
          </cell>
          <cell r="AN115">
            <v>537.02</v>
          </cell>
        </row>
        <row r="116">
          <cell r="A116">
            <v>1174</v>
          </cell>
          <cell r="B116" t="str">
            <v>MANUTENÇÃO DE ÁREAS VERDES E VIVEIROS</v>
          </cell>
          <cell r="C116">
            <v>44</v>
          </cell>
          <cell r="D116">
            <v>220</v>
          </cell>
          <cell r="E116" t="str">
            <v>DIARISTA DIURNO</v>
          </cell>
          <cell r="F116" t="str">
            <v>MANUTENÇÃO DE ÁREAS VERDES E VIVEIROS - DIARISTA DIURNO - 44H</v>
          </cell>
          <cell r="G116">
            <v>220</v>
          </cell>
          <cell r="L116">
            <v>8</v>
          </cell>
          <cell r="M116">
            <v>22</v>
          </cell>
          <cell r="N116">
            <v>24</v>
          </cell>
          <cell r="O116">
            <v>6</v>
          </cell>
          <cell r="R116">
            <v>1866.9668813209478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1866.9668813209478</v>
          </cell>
          <cell r="AA116">
            <v>0.81799999999999995</v>
          </cell>
          <cell r="AB116">
            <v>1527.1789089205352</v>
          </cell>
          <cell r="AC116">
            <v>31.89</v>
          </cell>
          <cell r="AD116">
            <v>49.32233415233415</v>
          </cell>
          <cell r="AE116">
            <v>81.212334152334151</v>
          </cell>
          <cell r="AF116">
            <v>3.5845764121362196</v>
          </cell>
          <cell r="AG116">
            <v>155.88391891891897</v>
          </cell>
          <cell r="AH116">
            <v>0</v>
          </cell>
          <cell r="AI116">
            <v>0</v>
          </cell>
          <cell r="AJ116">
            <v>7.0000000000000007E-2</v>
          </cell>
          <cell r="AK116">
            <v>292.02956608344391</v>
          </cell>
          <cell r="AL116">
            <v>3926.85</v>
          </cell>
          <cell r="AM116">
            <v>200.00000000000003</v>
          </cell>
          <cell r="AN116">
            <v>537.02</v>
          </cell>
        </row>
        <row r="117">
          <cell r="A117">
            <v>1902</v>
          </cell>
          <cell r="B117" t="str">
            <v>MECÂNICO DE MÁQUINAS E EQUIPAMENTOS</v>
          </cell>
          <cell r="C117">
            <v>44</v>
          </cell>
          <cell r="D117">
            <v>210</v>
          </cell>
          <cell r="E117" t="str">
            <v>12x36 DIURNO</v>
          </cell>
          <cell r="F117" t="str">
            <v>MECÂNICO DE MÁQUINAS E EQUIPAMENTOS - 12x36 DIURNO - 44H</v>
          </cell>
          <cell r="G117">
            <v>210</v>
          </cell>
          <cell r="L117">
            <v>12</v>
          </cell>
          <cell r="M117">
            <v>15.22</v>
          </cell>
          <cell r="N117">
            <v>24</v>
          </cell>
          <cell r="O117">
            <v>6</v>
          </cell>
          <cell r="R117">
            <v>2616.6144999999997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3.6341868055555548</v>
          </cell>
          <cell r="Z117">
            <v>2620.2486868055553</v>
          </cell>
          <cell r="AA117">
            <v>0.81799999999999995</v>
          </cell>
          <cell r="AB117">
            <v>2143.3634258069442</v>
          </cell>
          <cell r="AC117">
            <v>20.923636363636362</v>
          </cell>
          <cell r="AD117">
            <v>29.209999999999997</v>
          </cell>
          <cell r="AE117">
            <v>50.133636363636356</v>
          </cell>
          <cell r="AF117">
            <v>5.0238998399999986</v>
          </cell>
          <cell r="AG117">
            <v>264.67200000000003</v>
          </cell>
          <cell r="AH117">
            <v>0</v>
          </cell>
          <cell r="AI117">
            <v>0</v>
          </cell>
          <cell r="AJ117">
            <v>7.0000000000000007E-2</v>
          </cell>
          <cell r="AK117">
            <v>394.4515154171296</v>
          </cell>
          <cell r="AL117">
            <v>5477.89</v>
          </cell>
          <cell r="AM117">
            <v>200.00000000000003</v>
          </cell>
          <cell r="AN117">
            <v>551.58000000000004</v>
          </cell>
        </row>
        <row r="118">
          <cell r="A118">
            <v>1903</v>
          </cell>
          <cell r="B118" t="str">
            <v>MECÂNICO DE MÁQUINAS E EQUIPAMENTOS</v>
          </cell>
          <cell r="C118">
            <v>44</v>
          </cell>
          <cell r="D118">
            <v>210</v>
          </cell>
          <cell r="E118" t="str">
            <v>12x36 NOTURNO</v>
          </cell>
          <cell r="F118" t="str">
            <v>MECÂNICO DE MÁQUINAS E EQUIPAMENTOS - 12x36 NOTURNO - 44H</v>
          </cell>
          <cell r="G118">
            <v>210</v>
          </cell>
          <cell r="L118">
            <v>12</v>
          </cell>
          <cell r="M118">
            <v>15.22</v>
          </cell>
          <cell r="N118">
            <v>24</v>
          </cell>
          <cell r="O118">
            <v>6</v>
          </cell>
          <cell r="P118">
            <v>7</v>
          </cell>
          <cell r="Q118">
            <v>2</v>
          </cell>
          <cell r="R118">
            <v>2616.6144999999997</v>
          </cell>
          <cell r="S118">
            <v>0</v>
          </cell>
          <cell r="T118">
            <v>609.56509592690338</v>
          </cell>
          <cell r="U118">
            <v>13.305870191049905</v>
          </cell>
          <cell r="V118">
            <v>49.896998247333173</v>
          </cell>
          <cell r="W118">
            <v>0</v>
          </cell>
          <cell r="X118">
            <v>0</v>
          </cell>
          <cell r="Y118">
            <v>3.6341868055555548</v>
          </cell>
          <cell r="Z118">
            <v>3293.0166511708417</v>
          </cell>
          <cell r="AA118">
            <v>0.81799999999999995</v>
          </cell>
          <cell r="AB118">
            <v>2693.6876206577485</v>
          </cell>
          <cell r="AC118">
            <v>20.923636363636362</v>
          </cell>
          <cell r="AD118">
            <v>29.209999999999997</v>
          </cell>
          <cell r="AE118">
            <v>50.133636363636356</v>
          </cell>
          <cell r="AF118">
            <v>5.0238998399999986</v>
          </cell>
          <cell r="AG118">
            <v>264.67200000000003</v>
          </cell>
          <cell r="AH118">
            <v>0</v>
          </cell>
          <cell r="AI118">
            <v>0</v>
          </cell>
          <cell r="AJ118">
            <v>7.0000000000000007E-2</v>
          </cell>
          <cell r="AK118">
            <v>480.06796656225595</v>
          </cell>
          <cell r="AL118">
            <v>6786.6</v>
          </cell>
          <cell r="AM118">
            <v>200.00000000000003</v>
          </cell>
          <cell r="AN118">
            <v>551.58000000000004</v>
          </cell>
        </row>
        <row r="119">
          <cell r="A119">
            <v>150</v>
          </cell>
          <cell r="B119" t="str">
            <v>MECÂNICO DE MÁQUINAS E EQUIPAMENTOS</v>
          </cell>
          <cell r="C119">
            <v>40</v>
          </cell>
          <cell r="D119">
            <v>200</v>
          </cell>
          <cell r="E119" t="str">
            <v>DIARISTA DIURNO</v>
          </cell>
          <cell r="F119" t="str">
            <v>MECÂNICO DE MÁQUINAS E EQUIPAMENTOS - (PERIC.) - DIARISTA DIURNO - 40H</v>
          </cell>
          <cell r="G119">
            <v>200</v>
          </cell>
          <cell r="I119" t="str">
            <v>X</v>
          </cell>
          <cell r="L119">
            <v>12</v>
          </cell>
          <cell r="M119">
            <v>15.22</v>
          </cell>
          <cell r="N119">
            <v>24</v>
          </cell>
          <cell r="O119">
            <v>6</v>
          </cell>
          <cell r="P119">
            <v>7</v>
          </cell>
          <cell r="Q119">
            <v>2</v>
          </cell>
          <cell r="R119">
            <v>2378.7404545454542</v>
          </cell>
          <cell r="S119">
            <v>713.62213636363629</v>
          </cell>
          <cell r="T119">
            <v>756.41486903656653</v>
          </cell>
          <cell r="U119">
            <v>16.511375282530111</v>
          </cell>
          <cell r="V119">
            <v>61.91763873419071</v>
          </cell>
          <cell r="W119">
            <v>0</v>
          </cell>
          <cell r="X119">
            <v>0</v>
          </cell>
          <cell r="Y119">
            <v>0</v>
          </cell>
          <cell r="Z119">
            <v>3927.2064739623779</v>
          </cell>
          <cell r="AA119">
            <v>0.81799999999999995</v>
          </cell>
          <cell r="AB119">
            <v>3212.4548957012248</v>
          </cell>
          <cell r="AC119">
            <v>20.923636363636362</v>
          </cell>
          <cell r="AD119">
            <v>29.209999999999997</v>
          </cell>
          <cell r="AE119">
            <v>50.133636363636356</v>
          </cell>
          <cell r="AF119">
            <v>4.5671816727272718</v>
          </cell>
          <cell r="AG119">
            <v>274.18715151515153</v>
          </cell>
          <cell r="AH119">
            <v>0</v>
          </cell>
          <cell r="AI119">
            <v>0</v>
          </cell>
          <cell r="AJ119">
            <v>7.0000000000000007E-2</v>
          </cell>
          <cell r="AK119">
            <v>561.40905374505837</v>
          </cell>
          <cell r="AL119">
            <v>8029.95</v>
          </cell>
          <cell r="AM119">
            <v>181.81818181818184</v>
          </cell>
          <cell r="AN119">
            <v>551.58000000000004</v>
          </cell>
        </row>
        <row r="120">
          <cell r="A120">
            <v>93</v>
          </cell>
          <cell r="B120" t="str">
            <v>MOTOCICLISTA</v>
          </cell>
          <cell r="C120">
            <v>44</v>
          </cell>
          <cell r="D120">
            <v>220</v>
          </cell>
          <cell r="E120" t="str">
            <v>DIARISTA DIURNO</v>
          </cell>
          <cell r="F120" t="str">
            <v>MOTOCICLISTA - (PERIC.) - DIARISTA DIURNO - 44H</v>
          </cell>
          <cell r="G120">
            <v>220</v>
          </cell>
          <cell r="I120" t="str">
            <v>X</v>
          </cell>
          <cell r="L120">
            <v>8</v>
          </cell>
          <cell r="M120">
            <v>22</v>
          </cell>
          <cell r="N120">
            <v>24</v>
          </cell>
          <cell r="O120">
            <v>6</v>
          </cell>
          <cell r="R120">
            <v>2562.2943249999998</v>
          </cell>
          <cell r="S120">
            <v>768.68829749999998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3330.9826224999997</v>
          </cell>
          <cell r="AA120">
            <v>0.81799999999999995</v>
          </cell>
          <cell r="AB120">
            <v>2724.7437852049998</v>
          </cell>
          <cell r="AC120">
            <v>27.513333333333332</v>
          </cell>
          <cell r="AD120">
            <v>51.851515151515152</v>
          </cell>
          <cell r="AE120">
            <v>79.36484848484848</v>
          </cell>
          <cell r="AF120">
            <v>4.9196051039999995</v>
          </cell>
          <cell r="AG120">
            <v>241.12</v>
          </cell>
          <cell r="AH120">
            <v>3.2974807684518895E-2</v>
          </cell>
          <cell r="AI120">
            <v>227.9258560933157</v>
          </cell>
          <cell r="AJ120">
            <v>7.0000000000000007E-2</v>
          </cell>
          <cell r="AK120">
            <v>499.80327021710144</v>
          </cell>
          <cell r="AL120">
            <v>7108.85</v>
          </cell>
          <cell r="AM120">
            <v>200.00000000000003</v>
          </cell>
          <cell r="AN120">
            <v>530.99</v>
          </cell>
        </row>
        <row r="121">
          <cell r="A121">
            <v>106</v>
          </cell>
          <cell r="B121" t="str">
            <v>MOTORISTA DE AMBULÂNCIA</v>
          </cell>
          <cell r="C121">
            <v>44</v>
          </cell>
          <cell r="D121">
            <v>210</v>
          </cell>
          <cell r="E121" t="str">
            <v>12x36 DIURNO</v>
          </cell>
          <cell r="F121" t="str">
            <v>MOTORISTA DE AMBULÂNCIA - 12x36 DIURNO - 44H</v>
          </cell>
          <cell r="G121">
            <v>210</v>
          </cell>
          <cell r="K121" t="str">
            <v>X</v>
          </cell>
          <cell r="L121">
            <v>12</v>
          </cell>
          <cell r="M121">
            <v>15.22</v>
          </cell>
          <cell r="N121">
            <v>24</v>
          </cell>
          <cell r="O121">
            <v>6</v>
          </cell>
          <cell r="R121">
            <v>3862.1518529111127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298.85698861812182</v>
          </cell>
          <cell r="Y121">
            <v>5.3640997957098788</v>
          </cell>
          <cell r="Z121">
            <v>4166.3729413249448</v>
          </cell>
          <cell r="AA121">
            <v>0.81799999999999995</v>
          </cell>
          <cell r="AB121">
            <v>3408.0930660038048</v>
          </cell>
          <cell r="AC121">
            <v>44.339166666666664</v>
          </cell>
          <cell r="AD121">
            <v>12.884945454545454</v>
          </cell>
          <cell r="AE121">
            <v>57.224112121212116</v>
          </cell>
          <cell r="AF121">
            <v>7.4153315575893357</v>
          </cell>
          <cell r="AG121">
            <v>19.965546666666668</v>
          </cell>
          <cell r="AH121">
            <v>3.7300615542660252E-2</v>
          </cell>
          <cell r="AI121">
            <v>307.26163960325533</v>
          </cell>
          <cell r="AJ121">
            <v>7.0000000000000007E-2</v>
          </cell>
          <cell r="AK121">
            <v>598.12922194275654</v>
          </cell>
          <cell r="AL121">
            <v>8564.4599999999991</v>
          </cell>
          <cell r="AM121">
            <v>200.00000000000003</v>
          </cell>
          <cell r="AN121">
            <v>578.37</v>
          </cell>
        </row>
        <row r="122">
          <cell r="A122">
            <v>107</v>
          </cell>
          <cell r="B122" t="str">
            <v>MOTORISTA DE AMBULÂNCIA</v>
          </cell>
          <cell r="C122">
            <v>44</v>
          </cell>
          <cell r="D122">
            <v>210</v>
          </cell>
          <cell r="E122" t="str">
            <v>12x36 NOTURNO</v>
          </cell>
          <cell r="F122" t="str">
            <v>MOTORISTA DE AMBULÂNCIA - 12x36 NOTURNO - 44H</v>
          </cell>
          <cell r="G122">
            <v>210</v>
          </cell>
          <cell r="K122" t="str">
            <v>X</v>
          </cell>
          <cell r="L122">
            <v>12</v>
          </cell>
          <cell r="M122">
            <v>15.22</v>
          </cell>
          <cell r="N122">
            <v>24</v>
          </cell>
          <cell r="O122">
            <v>6</v>
          </cell>
          <cell r="P122">
            <v>7</v>
          </cell>
          <cell r="Q122">
            <v>2</v>
          </cell>
          <cell r="R122">
            <v>3862.1518529111127</v>
          </cell>
          <cell r="S122">
            <v>0</v>
          </cell>
          <cell r="T122">
            <v>899.72480268072763</v>
          </cell>
          <cell r="U122">
            <v>19.639611113122754</v>
          </cell>
          <cell r="V122">
            <v>73.648519579647825</v>
          </cell>
          <cell r="W122">
            <v>0</v>
          </cell>
          <cell r="X122">
            <v>298.85698861812182</v>
          </cell>
          <cell r="Y122">
            <v>5.3640997957098788</v>
          </cell>
          <cell r="Z122">
            <v>5159.3858746984424</v>
          </cell>
          <cell r="AA122">
            <v>0.81799999999999995</v>
          </cell>
          <cell r="AB122">
            <v>4220.3776455033258</v>
          </cell>
          <cell r="AC122">
            <v>44.339166666666664</v>
          </cell>
          <cell r="AD122">
            <v>12.884945454545454</v>
          </cell>
          <cell r="AE122">
            <v>57.224112121212116</v>
          </cell>
          <cell r="AF122">
            <v>7.4153315575893357</v>
          </cell>
          <cell r="AG122">
            <v>19.965546666666668</v>
          </cell>
          <cell r="AH122">
            <v>3.7300615542660252E-2</v>
          </cell>
          <cell r="AI122">
            <v>374.60034807105251</v>
          </cell>
          <cell r="AJ122">
            <v>7.0000000000000007E-2</v>
          </cell>
          <cell r="AK122">
            <v>729.21375743661361</v>
          </cell>
          <cell r="AL122">
            <v>10568.18</v>
          </cell>
          <cell r="AM122">
            <v>200.00000000000003</v>
          </cell>
          <cell r="AN122">
            <v>578.37</v>
          </cell>
        </row>
        <row r="123">
          <cell r="A123">
            <v>1175</v>
          </cell>
          <cell r="B123" t="str">
            <v>MOTORISTA DE AMBULÂNCIA</v>
          </cell>
          <cell r="C123">
            <v>30</v>
          </cell>
          <cell r="D123">
            <v>150</v>
          </cell>
          <cell r="E123" t="str">
            <v>DIARISTA DIURNO</v>
          </cell>
          <cell r="F123" t="str">
            <v>MOTORISTA DE AMBULÂNCIA - DIARISTA DIURNO - 30H</v>
          </cell>
          <cell r="G123">
            <v>150</v>
          </cell>
          <cell r="L123">
            <v>6</v>
          </cell>
          <cell r="M123">
            <v>22</v>
          </cell>
          <cell r="N123">
            <v>24</v>
          </cell>
          <cell r="O123">
            <v>6</v>
          </cell>
          <cell r="R123">
            <v>2633.2853542575767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2633.2853542575767</v>
          </cell>
          <cell r="AA123">
            <v>0.81799999999999995</v>
          </cell>
          <cell r="AB123">
            <v>2154.0274197826975</v>
          </cell>
          <cell r="AC123">
            <v>44.339166666666664</v>
          </cell>
          <cell r="AD123">
            <v>12.884945454545454</v>
          </cell>
          <cell r="AE123">
            <v>57.224112121212116</v>
          </cell>
          <cell r="AF123">
            <v>5.055907880174547</v>
          </cell>
          <cell r="AG123">
            <v>33.139334545454545</v>
          </cell>
          <cell r="AH123">
            <v>3.7300615542660252E-2</v>
          </cell>
          <cell r="AI123">
            <v>203.70249083129312</v>
          </cell>
          <cell r="AJ123">
            <v>7.0000000000000007E-2</v>
          </cell>
          <cell r="AK123">
            <v>396.53636069262188</v>
          </cell>
          <cell r="AL123">
            <v>5482.97</v>
          </cell>
          <cell r="AM123">
            <v>136.36363636363637</v>
          </cell>
          <cell r="AN123">
            <v>578.37</v>
          </cell>
        </row>
        <row r="124">
          <cell r="A124">
            <v>105</v>
          </cell>
          <cell r="B124" t="str">
            <v>MOTORISTA DE AMBULÂNCIA</v>
          </cell>
          <cell r="C124">
            <v>44</v>
          </cell>
          <cell r="D124">
            <v>220</v>
          </cell>
          <cell r="E124" t="str">
            <v>DIARISTA DIURNO</v>
          </cell>
          <cell r="F124" t="str">
            <v>MOTORISTA DE AMBULÂNCIA - DIARISTA DIURNO - 44H</v>
          </cell>
          <cell r="G124">
            <v>220</v>
          </cell>
          <cell r="L124">
            <v>8</v>
          </cell>
          <cell r="M124">
            <v>22</v>
          </cell>
          <cell r="N124">
            <v>24</v>
          </cell>
          <cell r="O124">
            <v>6</v>
          </cell>
          <cell r="R124">
            <v>3862.1518529111127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3862.1518529111127</v>
          </cell>
          <cell r="AA124">
            <v>0.81799999999999995</v>
          </cell>
          <cell r="AB124">
            <v>3159.24021568129</v>
          </cell>
          <cell r="AC124">
            <v>44.339166666666664</v>
          </cell>
          <cell r="AD124">
            <v>12.884945454545454</v>
          </cell>
          <cell r="AE124">
            <v>57.224112121212116</v>
          </cell>
          <cell r="AF124">
            <v>7.4153315575893357</v>
          </cell>
          <cell r="AG124">
            <v>19.965546666666668</v>
          </cell>
          <cell r="AH124">
            <v>3.7300615542660252E-2</v>
          </cell>
          <cell r="AI124">
            <v>286.63164124778598</v>
          </cell>
          <cell r="AJ124">
            <v>7.0000000000000007E-2</v>
          </cell>
          <cell r="AK124">
            <v>557.96994634632927</v>
          </cell>
          <cell r="AL124">
            <v>7950.59</v>
          </cell>
          <cell r="AM124">
            <v>200.00000000000003</v>
          </cell>
          <cell r="AN124">
            <v>578.37</v>
          </cell>
        </row>
        <row r="125">
          <cell r="A125">
            <v>100</v>
          </cell>
          <cell r="B125" t="str">
            <v>MOTORISTA DE CAMINHÃO</v>
          </cell>
          <cell r="C125">
            <v>44</v>
          </cell>
          <cell r="D125">
            <v>210</v>
          </cell>
          <cell r="E125" t="str">
            <v>12x36 DIURNO</v>
          </cell>
          <cell r="F125" t="str">
            <v>MOTORISTA DE CAMINHÃO - 12x36 DIURNO - 44H</v>
          </cell>
          <cell r="G125">
            <v>210</v>
          </cell>
          <cell r="L125">
            <v>12</v>
          </cell>
          <cell r="M125">
            <v>15.22</v>
          </cell>
          <cell r="N125">
            <v>24</v>
          </cell>
          <cell r="O125">
            <v>6</v>
          </cell>
          <cell r="R125">
            <v>3046.4749092553202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4.2312151517435002</v>
          </cell>
          <cell r="Z125">
            <v>3050.7061244070637</v>
          </cell>
          <cell r="AA125">
            <v>0.81799999999999995</v>
          </cell>
          <cell r="AB125">
            <v>2495.4776097649778</v>
          </cell>
          <cell r="AC125">
            <v>44.339166666666664</v>
          </cell>
          <cell r="AD125">
            <v>7.6023210831721473</v>
          </cell>
          <cell r="AE125">
            <v>51.941487749838814</v>
          </cell>
          <cell r="AF125">
            <v>5.8492318257702145</v>
          </cell>
          <cell r="AG125">
            <v>102.38738723404258</v>
          </cell>
          <cell r="AH125">
            <v>3.2870145422158062E-2</v>
          </cell>
          <cell r="AI125">
            <v>206.90946435864913</v>
          </cell>
          <cell r="AJ125">
            <v>7.0000000000000007E-2</v>
          </cell>
          <cell r="AK125">
            <v>455.11641052276019</v>
          </cell>
          <cell r="AL125">
            <v>6368.38</v>
          </cell>
          <cell r="AM125">
            <v>200.00000000000003</v>
          </cell>
          <cell r="AN125">
            <v>588.39</v>
          </cell>
        </row>
        <row r="126">
          <cell r="A126">
            <v>101</v>
          </cell>
          <cell r="B126" t="str">
            <v>MOTORISTA DE CAMINHÃO</v>
          </cell>
          <cell r="C126">
            <v>44</v>
          </cell>
          <cell r="D126">
            <v>210</v>
          </cell>
          <cell r="E126" t="str">
            <v>12x36 NOTURNO</v>
          </cell>
          <cell r="F126" t="str">
            <v>MOTORISTA DE CAMINHÃO - 12x36 NOTURNO - 44H</v>
          </cell>
          <cell r="G126">
            <v>210</v>
          </cell>
          <cell r="L126">
            <v>12</v>
          </cell>
          <cell r="M126">
            <v>15.22</v>
          </cell>
          <cell r="N126">
            <v>24</v>
          </cell>
          <cell r="O126">
            <v>6</v>
          </cell>
          <cell r="P126">
            <v>7</v>
          </cell>
          <cell r="Q126">
            <v>2</v>
          </cell>
          <cell r="R126">
            <v>3046.4749092553202</v>
          </cell>
          <cell r="S126">
            <v>0</v>
          </cell>
          <cell r="T126">
            <v>709.70514391750248</v>
          </cell>
          <cell r="U126">
            <v>15.491773695682662</v>
          </cell>
          <cell r="V126">
            <v>58.094133930564567</v>
          </cell>
          <cell r="W126">
            <v>0</v>
          </cell>
          <cell r="X126">
            <v>0</v>
          </cell>
          <cell r="Y126">
            <v>4.2312151517435002</v>
          </cell>
          <cell r="Z126">
            <v>3833.9971759508135</v>
          </cell>
          <cell r="AA126">
            <v>0.81799999999999995</v>
          </cell>
          <cell r="AB126">
            <v>3136.2096899277653</v>
          </cell>
          <cell r="AC126">
            <v>44.339166666666664</v>
          </cell>
          <cell r="AD126">
            <v>7.6023210831721473</v>
          </cell>
          <cell r="AE126">
            <v>51.941487749838814</v>
          </cell>
          <cell r="AF126">
            <v>5.8492318257702145</v>
          </cell>
          <cell r="AG126">
            <v>102.38738723404258</v>
          </cell>
          <cell r="AH126">
            <v>3.2870145422158062E-2</v>
          </cell>
          <cell r="AI126">
            <v>253.71731178235996</v>
          </cell>
          <cell r="AJ126">
            <v>7.0000000000000007E-2</v>
          </cell>
          <cell r="AK126">
            <v>558.07457906187756</v>
          </cell>
          <cell r="AL126">
            <v>7942.17</v>
          </cell>
          <cell r="AM126">
            <v>200.00000000000003</v>
          </cell>
          <cell r="AN126">
            <v>588.39</v>
          </cell>
        </row>
        <row r="127">
          <cell r="A127">
            <v>98</v>
          </cell>
          <cell r="B127" t="str">
            <v>MOTORISTA DE CAMINHÃO</v>
          </cell>
          <cell r="C127">
            <v>44</v>
          </cell>
          <cell r="D127">
            <v>220</v>
          </cell>
          <cell r="E127" t="str">
            <v>DIARISTA DIURNO</v>
          </cell>
          <cell r="F127" t="str">
            <v>MOTORISTA DE CAMINHÃO - DIARISTA DIURNO - 44H</v>
          </cell>
          <cell r="G127">
            <v>220</v>
          </cell>
          <cell r="L127">
            <v>8</v>
          </cell>
          <cell r="M127">
            <v>22</v>
          </cell>
          <cell r="N127">
            <v>24</v>
          </cell>
          <cell r="O127">
            <v>6</v>
          </cell>
          <cell r="R127">
            <v>3046.4749092553202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3046.4749092553202</v>
          </cell>
          <cell r="AA127">
            <v>0.81799999999999995</v>
          </cell>
          <cell r="AB127">
            <v>2492.0164757708517</v>
          </cell>
          <cell r="AC127">
            <v>44.339166666666664</v>
          </cell>
          <cell r="AD127">
            <v>7.6023210831721473</v>
          </cell>
          <cell r="AE127">
            <v>51.941487749838814</v>
          </cell>
          <cell r="AF127">
            <v>5.8492318257702145</v>
          </cell>
          <cell r="AG127">
            <v>102.38738723404258</v>
          </cell>
          <cell r="AH127">
            <v>3.2870145422158062E-2</v>
          </cell>
          <cell r="AI127">
            <v>206.65661572358638</v>
          </cell>
          <cell r="AJ127">
            <v>7.0000000000000007E-2</v>
          </cell>
          <cell r="AK127">
            <v>454.56024667809487</v>
          </cell>
          <cell r="AL127">
            <v>6359.88</v>
          </cell>
          <cell r="AM127">
            <v>200.00000000000003</v>
          </cell>
          <cell r="AN127">
            <v>588.39</v>
          </cell>
        </row>
        <row r="128">
          <cell r="A128">
            <v>2011</v>
          </cell>
          <cell r="B128" t="str">
            <v>MOTORISTA DE PASSAGEIROS</v>
          </cell>
          <cell r="C128">
            <v>44</v>
          </cell>
          <cell r="D128">
            <v>210</v>
          </cell>
          <cell r="E128" t="str">
            <v>12x36 DIURNO</v>
          </cell>
          <cell r="F128" t="str">
            <v>MOTORISTA DE PASSAGEIROS - 12x36 DIURNO - 44H</v>
          </cell>
          <cell r="G128">
            <v>210</v>
          </cell>
          <cell r="L128">
            <v>8</v>
          </cell>
          <cell r="M128">
            <v>22</v>
          </cell>
          <cell r="N128">
            <v>24</v>
          </cell>
          <cell r="O128">
            <v>6</v>
          </cell>
          <cell r="R128">
            <v>3968.2980999999991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5.5115251388888877</v>
          </cell>
          <cell r="Z128">
            <v>3973.8096251388879</v>
          </cell>
          <cell r="AA128">
            <v>0.81799999999999995</v>
          </cell>
          <cell r="AB128">
            <v>3250.5762733636102</v>
          </cell>
          <cell r="AC128">
            <v>59.667499999999997</v>
          </cell>
          <cell r="AD128">
            <v>2.8909090909090907</v>
          </cell>
          <cell r="AE128">
            <v>62.558409090909088</v>
          </cell>
          <cell r="AF128">
            <v>7.6191323519999976</v>
          </cell>
          <cell r="AG128">
            <v>63.207849999999993</v>
          </cell>
          <cell r="AH128">
            <v>3.2250421500329765E-2</v>
          </cell>
          <cell r="AI128">
            <v>256.37992738559461</v>
          </cell>
          <cell r="AJ128">
            <v>7.0000000000000007E-2</v>
          </cell>
          <cell r="AK128">
            <v>574.42288521317016</v>
          </cell>
          <cell r="AL128">
            <v>8188.57</v>
          </cell>
          <cell r="AM128">
            <v>200.00000000000003</v>
          </cell>
          <cell r="AN128">
            <v>591.89</v>
          </cell>
        </row>
        <row r="129">
          <cell r="A129">
            <v>104</v>
          </cell>
          <cell r="B129" t="str">
            <v>MOTORISTA DE CAMINHÃO (CARGAS PESADAS)</v>
          </cell>
          <cell r="C129">
            <v>44</v>
          </cell>
          <cell r="D129">
            <v>220</v>
          </cell>
          <cell r="E129" t="str">
            <v>DIARISTA DIURNO</v>
          </cell>
          <cell r="F129" t="str">
            <v>MOTORISTA DE CAMINHÃO (CARGAS PESADAS) - DIARISTA DIURNO - 44H</v>
          </cell>
          <cell r="G129">
            <v>220</v>
          </cell>
          <cell r="L129">
            <v>8</v>
          </cell>
          <cell r="M129">
            <v>22</v>
          </cell>
          <cell r="N129">
            <v>24</v>
          </cell>
          <cell r="O129">
            <v>6</v>
          </cell>
          <cell r="R129">
            <v>3707.2664999999997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3707.2664999999997</v>
          </cell>
          <cell r="AA129">
            <v>0.81799999999999995</v>
          </cell>
          <cell r="AB129">
            <v>3032.5439969999998</v>
          </cell>
          <cell r="AC129">
            <v>48.37</v>
          </cell>
          <cell r="AD129">
            <v>14.545454545454545</v>
          </cell>
          <cell r="AE129">
            <v>62.915454545454544</v>
          </cell>
          <cell r="AF129">
            <v>7.1179516799999991</v>
          </cell>
          <cell r="AG129">
            <v>0</v>
          </cell>
          <cell r="AH129">
            <v>0</v>
          </cell>
          <cell r="AI129">
            <v>0</v>
          </cell>
          <cell r="AJ129">
            <v>7.0000000000000007E-2</v>
          </cell>
          <cell r="AK129">
            <v>516.34687322578191</v>
          </cell>
          <cell r="AL129">
            <v>7326.19</v>
          </cell>
          <cell r="AM129">
            <v>200.00000000000003</v>
          </cell>
          <cell r="AN129">
            <v>566.54</v>
          </cell>
        </row>
        <row r="130">
          <cell r="A130">
            <v>1176</v>
          </cell>
          <cell r="B130" t="str">
            <v>MOTORISTA DE ÔNIBUS</v>
          </cell>
          <cell r="C130">
            <v>44</v>
          </cell>
          <cell r="D130">
            <v>220</v>
          </cell>
          <cell r="E130" t="str">
            <v>DIARISTA DIURNO</v>
          </cell>
          <cell r="F130" t="str">
            <v>MOTORISTA DE ÔNIBUS - (PERIC.) - DIARISTA DIURNO - 44H</v>
          </cell>
          <cell r="G130">
            <v>220</v>
          </cell>
          <cell r="I130" t="str">
            <v>X</v>
          </cell>
          <cell r="L130">
            <v>8</v>
          </cell>
          <cell r="M130">
            <v>22</v>
          </cell>
          <cell r="N130">
            <v>24</v>
          </cell>
          <cell r="O130">
            <v>6</v>
          </cell>
          <cell r="R130">
            <v>3873.8434954225377</v>
          </cell>
          <cell r="S130">
            <v>1162.1530486267613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5035.9965440492988</v>
          </cell>
          <cell r="AA130">
            <v>0.81799999999999995</v>
          </cell>
          <cell r="AB130">
            <v>4119.4451730323262</v>
          </cell>
          <cell r="AC130">
            <v>44.339166666666664</v>
          </cell>
          <cell r="AD130">
            <v>2.8909090909090907</v>
          </cell>
          <cell r="AE130">
            <v>47.230075757575754</v>
          </cell>
          <cell r="AF130">
            <v>7.4377795112112715</v>
          </cell>
          <cell r="AG130">
            <v>59.014225352112668</v>
          </cell>
          <cell r="AH130">
            <v>3.2297816973852804E-2</v>
          </cell>
          <cell r="AI130">
            <v>318.35971366674477</v>
          </cell>
          <cell r="AJ130">
            <v>7.0000000000000007E-2</v>
          </cell>
          <cell r="AK130">
            <v>712.27546551415878</v>
          </cell>
          <cell r="AL130">
            <v>10299.75</v>
          </cell>
          <cell r="AM130">
            <v>200.00000000000003</v>
          </cell>
          <cell r="AN130">
            <v>587.88</v>
          </cell>
        </row>
        <row r="131">
          <cell r="A131">
            <v>108</v>
          </cell>
          <cell r="B131" t="str">
            <v>MOTORISTA DE ÔNIBUS</v>
          </cell>
          <cell r="C131">
            <v>44</v>
          </cell>
          <cell r="D131">
            <v>220</v>
          </cell>
          <cell r="E131" t="str">
            <v>DIARISTA DIURNO</v>
          </cell>
          <cell r="F131" t="str">
            <v>MOTORISTA DE ÔNIBUS - DIARISTA DIURNO - 44H</v>
          </cell>
          <cell r="G131">
            <v>220</v>
          </cell>
          <cell r="L131">
            <v>8</v>
          </cell>
          <cell r="M131">
            <v>22</v>
          </cell>
          <cell r="N131">
            <v>24</v>
          </cell>
          <cell r="O131">
            <v>6</v>
          </cell>
          <cell r="R131">
            <v>3873.8434954225377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3873.8434954225377</v>
          </cell>
          <cell r="AA131">
            <v>0.81799999999999995</v>
          </cell>
          <cell r="AB131">
            <v>3168.8039792556356</v>
          </cell>
          <cell r="AC131">
            <v>44.339166666666664</v>
          </cell>
          <cell r="AD131">
            <v>2.8909090909090907</v>
          </cell>
          <cell r="AE131">
            <v>47.230075757575754</v>
          </cell>
          <cell r="AF131">
            <v>7.4377795112112715</v>
          </cell>
          <cell r="AG131">
            <v>59.014225352112668</v>
          </cell>
          <cell r="AH131">
            <v>3.2297816973852804E-2</v>
          </cell>
          <cell r="AI131">
            <v>250.12107192218809</v>
          </cell>
          <cell r="AJ131">
            <v>7.0000000000000007E-2</v>
          </cell>
          <cell r="AK131">
            <v>559.6031636237982</v>
          </cell>
          <cell r="AL131">
            <v>7966.05</v>
          </cell>
          <cell r="AM131">
            <v>200.00000000000003</v>
          </cell>
          <cell r="AN131">
            <v>587.88</v>
          </cell>
        </row>
        <row r="132">
          <cell r="A132">
            <v>96</v>
          </cell>
          <cell r="B132" t="str">
            <v>MOTORISTA DE VEICULO DE SERVICO</v>
          </cell>
          <cell r="C132">
            <v>44</v>
          </cell>
          <cell r="D132">
            <v>210</v>
          </cell>
          <cell r="E132" t="str">
            <v>12x36 DIURNO</v>
          </cell>
          <cell r="F132" t="str">
            <v>MOTORISTA DE VEICULO DE SERVICO - 12x36 DIURNO - 44H</v>
          </cell>
          <cell r="G132">
            <v>210</v>
          </cell>
          <cell r="K132" t="str">
            <v>X</v>
          </cell>
          <cell r="L132">
            <v>12</v>
          </cell>
          <cell r="M132">
            <v>15.22</v>
          </cell>
          <cell r="N132">
            <v>24</v>
          </cell>
          <cell r="O132">
            <v>6</v>
          </cell>
          <cell r="R132">
            <v>2849.8051013700169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220.52063284410846</v>
          </cell>
          <cell r="Y132">
            <v>3.9580626407916899</v>
          </cell>
          <cell r="Z132">
            <v>3074.283796854917</v>
          </cell>
          <cell r="AA132">
            <v>0.81799999999999995</v>
          </cell>
          <cell r="AB132">
            <v>2514.764145827322</v>
          </cell>
          <cell r="AC132">
            <v>59.667499999999997</v>
          </cell>
          <cell r="AD132">
            <v>2.8909090909090907</v>
          </cell>
          <cell r="AE132">
            <v>62.558409090909088</v>
          </cell>
          <cell r="AF132">
            <v>5.4716257946304321</v>
          </cell>
          <cell r="AG132">
            <v>96.788494613583239</v>
          </cell>
          <cell r="AH132">
            <v>3.312705230825199E-2</v>
          </cell>
          <cell r="AI132">
            <v>210.06451029151205</v>
          </cell>
          <cell r="AJ132">
            <v>7.0000000000000007E-2</v>
          </cell>
          <cell r="AK132">
            <v>458.58692287146204</v>
          </cell>
          <cell r="AL132">
            <v>6422.51</v>
          </cell>
          <cell r="AM132">
            <v>200.00000000000003</v>
          </cell>
          <cell r="AN132">
            <v>587.30999999999995</v>
          </cell>
        </row>
        <row r="133">
          <cell r="A133">
            <v>97</v>
          </cell>
          <cell r="B133" t="str">
            <v>MOTORISTA DE VEICULO DE SERVICO</v>
          </cell>
          <cell r="C133">
            <v>44</v>
          </cell>
          <cell r="D133">
            <v>210</v>
          </cell>
          <cell r="E133" t="str">
            <v>12x36 NOTURNO</v>
          </cell>
          <cell r="F133" t="str">
            <v>MOTORISTA DE VEICULO DE SERVICO - 12x36 NOTURNO - 44H</v>
          </cell>
          <cell r="G133">
            <v>210</v>
          </cell>
          <cell r="K133" t="str">
            <v>X</v>
          </cell>
          <cell r="L133">
            <v>12</v>
          </cell>
          <cell r="M133">
            <v>15.22</v>
          </cell>
          <cell r="N133">
            <v>24</v>
          </cell>
          <cell r="O133">
            <v>6</v>
          </cell>
          <cell r="P133">
            <v>7</v>
          </cell>
          <cell r="Q133">
            <v>2</v>
          </cell>
          <cell r="R133">
            <v>2849.8051013700169</v>
          </cell>
          <cell r="S133">
            <v>0</v>
          </cell>
          <cell r="T133">
            <v>663.88905205164667</v>
          </cell>
          <cell r="U133">
            <v>14.491678750775582</v>
          </cell>
          <cell r="V133">
            <v>54.343779012269835</v>
          </cell>
          <cell r="W133">
            <v>0</v>
          </cell>
          <cell r="X133">
            <v>220.52063284410846</v>
          </cell>
          <cell r="Y133">
            <v>3.9580626407916899</v>
          </cell>
          <cell r="Z133">
            <v>3807.0083066696088</v>
          </cell>
          <cell r="AA133">
            <v>0.81799999999999995</v>
          </cell>
          <cell r="AB133">
            <v>3114.13279485574</v>
          </cell>
          <cell r="AC133">
            <v>59.667499999999997</v>
          </cell>
          <cell r="AD133">
            <v>2.8909090909090907</v>
          </cell>
          <cell r="AE133">
            <v>62.558409090909088</v>
          </cell>
          <cell r="AF133">
            <v>5.4716257946304321</v>
          </cell>
          <cell r="AG133">
            <v>96.788494613583239</v>
          </cell>
          <cell r="AH133">
            <v>3.312705230825199E-2</v>
          </cell>
          <cell r="AI133">
            <v>254.19283004397241</v>
          </cell>
          <cell r="AJ133">
            <v>7.0000000000000007E-2</v>
          </cell>
          <cell r="AK133">
            <v>554.92242637315201</v>
          </cell>
          <cell r="AL133">
            <v>7895.07</v>
          </cell>
          <cell r="AM133">
            <v>200.00000000000003</v>
          </cell>
          <cell r="AN133">
            <v>587.30999999999995</v>
          </cell>
        </row>
        <row r="134">
          <cell r="A134">
            <v>1904</v>
          </cell>
          <cell r="B134" t="str">
            <v>MOTORISTA DE VEICULO DE SERVICO</v>
          </cell>
          <cell r="C134">
            <v>44</v>
          </cell>
          <cell r="D134">
            <v>220</v>
          </cell>
          <cell r="E134" t="str">
            <v>DIARISTA DIURNO</v>
          </cell>
          <cell r="F134" t="str">
            <v>MOTORISTA DE VEICULO DE SERVICO - (PERIC.) - DIARISTA DIURNO - 44H</v>
          </cell>
          <cell r="G134">
            <v>220</v>
          </cell>
          <cell r="I134" t="str">
            <v>X</v>
          </cell>
          <cell r="L134">
            <v>8</v>
          </cell>
          <cell r="M134">
            <v>22</v>
          </cell>
          <cell r="N134">
            <v>24</v>
          </cell>
          <cell r="O134">
            <v>6</v>
          </cell>
          <cell r="R134">
            <v>2849.8051013700169</v>
          </cell>
          <cell r="S134">
            <v>854.94153041100503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3704.7466317810222</v>
          </cell>
          <cell r="AA134">
            <v>0.81799999999999995</v>
          </cell>
          <cell r="AB134">
            <v>3030.482744796876</v>
          </cell>
          <cell r="AC134">
            <v>59.667499999999997</v>
          </cell>
          <cell r="AD134">
            <v>2.8909090909090907</v>
          </cell>
          <cell r="AE134">
            <v>62.558409090909088</v>
          </cell>
          <cell r="AF134">
            <v>5.4716257946304321</v>
          </cell>
          <cell r="AG134">
            <v>96.788494613583239</v>
          </cell>
          <cell r="AH134">
            <v>3.312705230825199E-2</v>
          </cell>
          <cell r="AI134">
            <v>248.03412260692082</v>
          </cell>
          <cell r="AJ134">
            <v>7.0000000000000007E-2</v>
          </cell>
          <cell r="AK134">
            <v>541.4774961062368</v>
          </cell>
          <cell r="AL134">
            <v>7689.55</v>
          </cell>
          <cell r="AM134">
            <v>200.00000000000003</v>
          </cell>
          <cell r="AN134">
            <v>587.30999999999995</v>
          </cell>
        </row>
        <row r="135">
          <cell r="A135">
            <v>1430</v>
          </cell>
          <cell r="B135" t="str">
            <v>MOTORISTA DE VEICULO DE SERVICO</v>
          </cell>
          <cell r="C135">
            <v>40</v>
          </cell>
          <cell r="D135">
            <v>200</v>
          </cell>
          <cell r="E135" t="str">
            <v>DIARISTA DIURNO</v>
          </cell>
          <cell r="F135" t="str">
            <v>MOTORISTA DE VEICULO DE SERVICO - DIARISTA DIURNO - 40H</v>
          </cell>
          <cell r="G135">
            <v>200</v>
          </cell>
          <cell r="L135">
            <v>8</v>
          </cell>
          <cell r="M135">
            <v>22</v>
          </cell>
          <cell r="N135">
            <v>24</v>
          </cell>
          <cell r="O135">
            <v>6</v>
          </cell>
          <cell r="R135">
            <v>2590.7319103363789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2590.7319103363789</v>
          </cell>
          <cell r="AA135">
            <v>0.81799999999999995</v>
          </cell>
          <cell r="AB135">
            <v>2119.2187026551578</v>
          </cell>
          <cell r="AC135">
            <v>59.667499999999997</v>
          </cell>
          <cell r="AD135">
            <v>2.8909090909090907</v>
          </cell>
          <cell r="AE135">
            <v>62.558409090909088</v>
          </cell>
          <cell r="AF135">
            <v>4.9742052678458473</v>
          </cell>
          <cell r="AG135">
            <v>102.98993808814147</v>
          </cell>
          <cell r="AH135">
            <v>3.312705230825199E-2</v>
          </cell>
          <cell r="AI135">
            <v>181.13156453336191</v>
          </cell>
          <cell r="AJ135">
            <v>7.0000000000000007E-2</v>
          </cell>
          <cell r="AK135">
            <v>395.4240851963865</v>
          </cell>
          <cell r="AL135">
            <v>5457.02</v>
          </cell>
          <cell r="AM135">
            <v>181.81818181818184</v>
          </cell>
          <cell r="AN135">
            <v>587.30999999999995</v>
          </cell>
        </row>
        <row r="136">
          <cell r="A136">
            <v>94</v>
          </cell>
          <cell r="B136" t="str">
            <v>MOTORISTA DE VEICULO DE SERVICO</v>
          </cell>
          <cell r="C136">
            <v>44</v>
          </cell>
          <cell r="D136">
            <v>220</v>
          </cell>
          <cell r="E136" t="str">
            <v>DIARISTA DIURNO</v>
          </cell>
          <cell r="F136" t="str">
            <v>MOTORISTA DE VEICULO DE SERVICO - DIARISTA DIURNO - 44H</v>
          </cell>
          <cell r="G136">
            <v>220</v>
          </cell>
          <cell r="L136">
            <v>8</v>
          </cell>
          <cell r="M136">
            <v>22</v>
          </cell>
          <cell r="N136">
            <v>24</v>
          </cell>
          <cell r="O136">
            <v>6</v>
          </cell>
          <cell r="R136">
            <v>2849.8051013700169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2849.8051013700169</v>
          </cell>
          <cell r="AA136">
            <v>0.81799999999999995</v>
          </cell>
          <cell r="AB136">
            <v>2331.1405729206735</v>
          </cell>
          <cell r="AC136">
            <v>59.667499999999997</v>
          </cell>
          <cell r="AD136">
            <v>2.8909090909090907</v>
          </cell>
          <cell r="AE136">
            <v>62.558409090909088</v>
          </cell>
          <cell r="AF136">
            <v>5.4716257946304321</v>
          </cell>
          <cell r="AG136">
            <v>96.788494613583239</v>
          </cell>
          <cell r="AH136">
            <v>3.312705230825199E-2</v>
          </cell>
          <cell r="AI136">
            <v>196.54528509938893</v>
          </cell>
          <cell r="AJ136">
            <v>7.0000000000000007E-2</v>
          </cell>
          <cell r="AK136">
            <v>429.07341832060501</v>
          </cell>
          <cell r="AL136">
            <v>5971.38</v>
          </cell>
          <cell r="AM136">
            <v>200.00000000000003</v>
          </cell>
          <cell r="AN136">
            <v>587.30999999999995</v>
          </cell>
        </row>
        <row r="137">
          <cell r="A137" t="str">
            <v>E</v>
          </cell>
          <cell r="B137" t="str">
            <v>MOTORISTA EXECUTIVO</v>
          </cell>
          <cell r="C137">
            <v>44</v>
          </cell>
          <cell r="D137">
            <v>220</v>
          </cell>
          <cell r="E137" t="str">
            <v>DIARISTA DIURNO</v>
          </cell>
          <cell r="F137" t="str">
            <v>MOTORISTA EXECUTIVO - DIARISTA DIURNO - 44H</v>
          </cell>
          <cell r="G137">
            <v>220</v>
          </cell>
          <cell r="L137">
            <v>8</v>
          </cell>
          <cell r="M137">
            <v>22</v>
          </cell>
          <cell r="N137">
            <v>24</v>
          </cell>
          <cell r="O137">
            <v>6</v>
          </cell>
          <cell r="R137">
            <v>3910.6845499999999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3910.6845499999999</v>
          </cell>
          <cell r="AA137">
            <v>0.81799999999999995</v>
          </cell>
          <cell r="AB137">
            <v>3198.9399618999996</v>
          </cell>
          <cell r="AC137">
            <v>59.667499999999997</v>
          </cell>
          <cell r="AD137">
            <v>2.8909090909090907</v>
          </cell>
          <cell r="AE137">
            <v>62.558409090909088</v>
          </cell>
          <cell r="AF137">
            <v>7.5085143359999993</v>
          </cell>
          <cell r="AG137">
            <v>0</v>
          </cell>
          <cell r="AH137">
            <v>3.2146832029040541E-2</v>
          </cell>
          <cell r="AI137">
            <v>249.83172300146393</v>
          </cell>
          <cell r="AJ137">
            <v>7.0000000000000007E-2</v>
          </cell>
          <cell r="AK137">
            <v>561.49892108298616</v>
          </cell>
          <cell r="AL137">
            <v>7991.02</v>
          </cell>
          <cell r="AM137">
            <v>200.00000000000003</v>
          </cell>
          <cell r="AN137">
            <v>591.89</v>
          </cell>
        </row>
        <row r="138">
          <cell r="A138">
            <v>1177</v>
          </cell>
          <cell r="B138" t="str">
            <v>MOTORISTA EXECUTIVO</v>
          </cell>
          <cell r="C138">
            <v>44</v>
          </cell>
          <cell r="D138">
            <v>210</v>
          </cell>
          <cell r="E138" t="str">
            <v>12x36 DIURNO</v>
          </cell>
          <cell r="F138" t="str">
            <v>MOTORISTA EXECUTIVO - 12x36 DIURNO - 44H</v>
          </cell>
          <cell r="G138">
            <v>210</v>
          </cell>
          <cell r="L138">
            <v>12</v>
          </cell>
          <cell r="M138">
            <v>15.22</v>
          </cell>
          <cell r="N138">
            <v>24</v>
          </cell>
          <cell r="O138">
            <v>6</v>
          </cell>
          <cell r="R138">
            <v>3910.6845499999999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5.4315063194444448</v>
          </cell>
          <cell r="Z138">
            <v>3916.1160563194444</v>
          </cell>
          <cell r="AA138">
            <v>0.81799999999999995</v>
          </cell>
          <cell r="AB138">
            <v>3203.3829340693055</v>
          </cell>
          <cell r="AC138">
            <v>59.667499999999997</v>
          </cell>
          <cell r="AD138">
            <v>2.8909090909090907</v>
          </cell>
          <cell r="AE138">
            <v>62.558409090909088</v>
          </cell>
          <cell r="AF138">
            <v>7.5085143359999993</v>
          </cell>
          <cell r="AG138">
            <v>0</v>
          </cell>
          <cell r="AH138">
            <v>3.2146832029040541E-2</v>
          </cell>
          <cell r="AI138">
            <v>250.14915620281616</v>
          </cell>
          <cell r="AJ138">
            <v>7.0000000000000007E-2</v>
          </cell>
          <cell r="AK138">
            <v>562.21235490129334</v>
          </cell>
          <cell r="AL138">
            <v>8001.92</v>
          </cell>
          <cell r="AM138">
            <v>200.00000000000003</v>
          </cell>
          <cell r="AN138">
            <v>591.89</v>
          </cell>
        </row>
        <row r="139">
          <cell r="A139">
            <v>318</v>
          </cell>
          <cell r="B139" t="str">
            <v>OPERADOR DE ACABAMENTO GRÁFICO</v>
          </cell>
          <cell r="C139">
            <v>40</v>
          </cell>
          <cell r="D139">
            <v>200</v>
          </cell>
          <cell r="E139" t="str">
            <v>DIARISTA DIURNO</v>
          </cell>
          <cell r="F139" t="str">
            <v>OPERADOR DE ACABAMENTO GRÁFICO - DIARISTA DIURNO - 40H</v>
          </cell>
          <cell r="G139">
            <v>200</v>
          </cell>
          <cell r="L139">
            <v>8</v>
          </cell>
          <cell r="M139">
            <v>22</v>
          </cell>
          <cell r="N139">
            <v>24</v>
          </cell>
          <cell r="O139">
            <v>6</v>
          </cell>
          <cell r="R139">
            <v>2377.7441250000002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2377.7441250000002</v>
          </cell>
          <cell r="AA139">
            <v>0.81799999999999995</v>
          </cell>
          <cell r="AB139">
            <v>1944.9946942500001</v>
          </cell>
          <cell r="AC139">
            <v>19.18</v>
          </cell>
          <cell r="AD139">
            <v>41.902727272727276</v>
          </cell>
          <cell r="AE139">
            <v>61.082727272727276</v>
          </cell>
          <cell r="AF139">
            <v>4.5652687199999997</v>
          </cell>
          <cell r="AG139">
            <v>201.19636363636366</v>
          </cell>
          <cell r="AH139">
            <v>3.3073705405314215E-2</v>
          </cell>
          <cell r="AI139">
            <v>170.03731641889581</v>
          </cell>
          <cell r="AJ139">
            <v>7.0000000000000007E-2</v>
          </cell>
          <cell r="AK139">
            <v>371.78403467085911</v>
          </cell>
          <cell r="AL139">
            <v>5131.3999999999996</v>
          </cell>
          <cell r="AM139">
            <v>181.81818181818184</v>
          </cell>
          <cell r="AN139">
            <v>551.58000000000004</v>
          </cell>
        </row>
        <row r="140">
          <cell r="A140">
            <v>1905</v>
          </cell>
          <cell r="B140" t="str">
            <v>OPERADOR DE BARRAGEM</v>
          </cell>
          <cell r="C140">
            <v>40</v>
          </cell>
          <cell r="D140">
            <v>200</v>
          </cell>
          <cell r="E140" t="str">
            <v>DIARISTA DIURNO</v>
          </cell>
          <cell r="F140" t="str">
            <v>OPERADOR DE BARRAGEM - DIARISTA DIURNO - 40H</v>
          </cell>
          <cell r="G140">
            <v>200</v>
          </cell>
          <cell r="L140">
            <v>8</v>
          </cell>
          <cell r="M140">
            <v>22</v>
          </cell>
          <cell r="N140">
            <v>24</v>
          </cell>
          <cell r="O140">
            <v>6</v>
          </cell>
          <cell r="R140">
            <v>3644.5402499999991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3644.5402499999991</v>
          </cell>
          <cell r="AA140">
            <v>0.81799999999999995</v>
          </cell>
          <cell r="AB140">
            <v>2981.2339244999989</v>
          </cell>
          <cell r="AC140">
            <v>0</v>
          </cell>
          <cell r="AD140">
            <v>0</v>
          </cell>
          <cell r="AE140">
            <v>0</v>
          </cell>
          <cell r="AF140">
            <v>6.9975172799999976</v>
          </cell>
          <cell r="AG140">
            <v>0</v>
          </cell>
          <cell r="AH140">
            <v>0</v>
          </cell>
          <cell r="AI140">
            <v>0</v>
          </cell>
          <cell r="AJ140">
            <v>7.0000000000000007E-2</v>
          </cell>
          <cell r="AK140">
            <v>502.9046184245999</v>
          </cell>
          <cell r="AL140">
            <v>7135.67</v>
          </cell>
          <cell r="AM140">
            <v>181.81818181818184</v>
          </cell>
          <cell r="AN140">
            <v>551.58000000000004</v>
          </cell>
        </row>
        <row r="141">
          <cell r="A141">
            <v>116</v>
          </cell>
          <cell r="B141" t="str">
            <v>OPERADOR DE CALDEIRA</v>
          </cell>
          <cell r="C141">
            <v>44</v>
          </cell>
          <cell r="D141">
            <v>210</v>
          </cell>
          <cell r="E141" t="str">
            <v>12x36 DIURNO</v>
          </cell>
          <cell r="F141" t="str">
            <v>OPERADOR DE CALDEIRA - (PERIC.) - 12x36 DIURNO - 44H</v>
          </cell>
          <cell r="G141">
            <v>210</v>
          </cell>
          <cell r="I141" t="str">
            <v>X</v>
          </cell>
          <cell r="L141">
            <v>12</v>
          </cell>
          <cell r="M141">
            <v>15.22</v>
          </cell>
          <cell r="N141">
            <v>24</v>
          </cell>
          <cell r="O141">
            <v>6</v>
          </cell>
          <cell r="R141">
            <v>2604.5583750000001</v>
          </cell>
          <cell r="S141">
            <v>781.36751249999998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4.7026748437500006</v>
          </cell>
          <cell r="Z141">
            <v>3390.6285623437502</v>
          </cell>
          <cell r="AA141">
            <v>0.81799999999999995</v>
          </cell>
          <cell r="AB141">
            <v>2773.5341639971875</v>
          </cell>
          <cell r="AC141">
            <v>19.18</v>
          </cell>
          <cell r="AD141">
            <v>20.554545454545458</v>
          </cell>
          <cell r="AE141">
            <v>39.734545454545454</v>
          </cell>
          <cell r="AF141">
            <v>5.0007520799999998</v>
          </cell>
          <cell r="AG141">
            <v>198.00986666666668</v>
          </cell>
          <cell r="AH141">
            <v>3.3100764345549122E-2</v>
          </cell>
          <cell r="AI141">
            <v>230.33126786619289</v>
          </cell>
          <cell r="AJ141">
            <v>7.0000000000000007E-2</v>
          </cell>
          <cell r="AK141">
            <v>503.21734108858402</v>
          </cell>
          <cell r="AL141">
            <v>7140.45</v>
          </cell>
          <cell r="AM141">
            <v>200.00000000000003</v>
          </cell>
          <cell r="AN141">
            <v>551.58000000000004</v>
          </cell>
        </row>
        <row r="142">
          <cell r="A142">
            <v>1431</v>
          </cell>
          <cell r="B142" t="str">
            <v>OPERADOR DE CALDEIRA</v>
          </cell>
          <cell r="C142">
            <v>44</v>
          </cell>
          <cell r="D142">
            <v>210</v>
          </cell>
          <cell r="E142" t="str">
            <v>12x36 NOTURNO</v>
          </cell>
          <cell r="F142" t="str">
            <v>OPERADOR DE CALDEIRA - (PERIC.) - 12x36 NOTURNO - 44H</v>
          </cell>
          <cell r="G142">
            <v>210</v>
          </cell>
          <cell r="I142" t="str">
            <v>X</v>
          </cell>
          <cell r="L142">
            <v>12</v>
          </cell>
          <cell r="M142">
            <v>15.22</v>
          </cell>
          <cell r="N142">
            <v>24</v>
          </cell>
          <cell r="O142">
            <v>6</v>
          </cell>
          <cell r="P142">
            <v>7</v>
          </cell>
          <cell r="Q142">
            <v>2</v>
          </cell>
          <cell r="R142">
            <v>2604.5583750000001</v>
          </cell>
          <cell r="S142">
            <v>781.36751249999998</v>
          </cell>
          <cell r="T142">
            <v>788.7834598544506</v>
          </cell>
          <cell r="U142">
            <v>17.21793192523792</v>
          </cell>
          <cell r="V142">
            <v>64.567225349468771</v>
          </cell>
          <cell r="W142">
            <v>0</v>
          </cell>
          <cell r="X142">
            <v>0</v>
          </cell>
          <cell r="Y142">
            <v>4.7026748437500006</v>
          </cell>
          <cell r="Z142">
            <v>4261.1971794729079</v>
          </cell>
          <cell r="AA142">
            <v>0.81799999999999995</v>
          </cell>
          <cell r="AB142">
            <v>3485.6592928088385</v>
          </cell>
          <cell r="AC142">
            <v>19.18</v>
          </cell>
          <cell r="AD142">
            <v>20.554545454545458</v>
          </cell>
          <cell r="AE142">
            <v>39.734545454545454</v>
          </cell>
          <cell r="AF142">
            <v>5.0007520799999998</v>
          </cell>
          <cell r="AG142">
            <v>198.00986666666668</v>
          </cell>
          <cell r="AH142">
            <v>3.3100764345549122E-2</v>
          </cell>
          <cell r="AI142">
            <v>282.71964058175405</v>
          </cell>
          <cell r="AJ142">
            <v>7.0000000000000007E-2</v>
          </cell>
          <cell r="AK142">
            <v>617.67308939452994</v>
          </cell>
          <cell r="AL142">
            <v>8889.99</v>
          </cell>
          <cell r="AM142">
            <v>200.00000000000003</v>
          </cell>
          <cell r="AN142">
            <v>551.58000000000004</v>
          </cell>
        </row>
        <row r="143">
          <cell r="A143">
            <v>113</v>
          </cell>
          <cell r="B143" t="str">
            <v>OPERADOR DE CALDEIRA</v>
          </cell>
          <cell r="C143">
            <v>44</v>
          </cell>
          <cell r="D143">
            <v>220</v>
          </cell>
          <cell r="E143" t="str">
            <v>DIARISTA DIURNO</v>
          </cell>
          <cell r="F143" t="str">
            <v>OPERADOR DE CALDEIRA - (PERIC.) - DIARISTA DIURNO - 44H</v>
          </cell>
          <cell r="G143">
            <v>220</v>
          </cell>
          <cell r="I143" t="str">
            <v>X</v>
          </cell>
          <cell r="L143">
            <v>8</v>
          </cell>
          <cell r="M143">
            <v>22</v>
          </cell>
          <cell r="N143">
            <v>24</v>
          </cell>
          <cell r="O143">
            <v>6</v>
          </cell>
          <cell r="R143">
            <v>2604.5583750000001</v>
          </cell>
          <cell r="S143">
            <v>781.36751249999998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3385.9258875</v>
          </cell>
          <cell r="AA143">
            <v>0.81799999999999995</v>
          </cell>
          <cell r="AB143">
            <v>2769.6873759749997</v>
          </cell>
          <cell r="AC143">
            <v>19.18</v>
          </cell>
          <cell r="AD143">
            <v>20.554545454545458</v>
          </cell>
          <cell r="AE143">
            <v>39.734545454545454</v>
          </cell>
          <cell r="AF143">
            <v>5.0007520799999998</v>
          </cell>
          <cell r="AG143">
            <v>198.00986666666668</v>
          </cell>
          <cell r="AH143">
            <v>3.3100764345549122E-2</v>
          </cell>
          <cell r="AI143">
            <v>230.04827411058645</v>
          </cell>
          <cell r="AJ143">
            <v>7.0000000000000007E-2</v>
          </cell>
          <cell r="AK143">
            <v>502.59906912507586</v>
          </cell>
          <cell r="AL143">
            <v>7131</v>
          </cell>
          <cell r="AM143">
            <v>200.00000000000003</v>
          </cell>
          <cell r="AN143">
            <v>551.58000000000004</v>
          </cell>
        </row>
        <row r="144">
          <cell r="A144">
            <v>4</v>
          </cell>
          <cell r="B144" t="str">
            <v>OPERADOR DE CFTV</v>
          </cell>
          <cell r="C144">
            <v>30</v>
          </cell>
          <cell r="D144">
            <v>150</v>
          </cell>
          <cell r="E144" t="str">
            <v>DIARISTA NOTURNO</v>
          </cell>
          <cell r="F144" t="str">
            <v>OPERADOR DE CFTV (0H ÀS 6H) - DIARISTA NOTURNO - 30H</v>
          </cell>
          <cell r="G144">
            <v>150</v>
          </cell>
          <cell r="H144" t="str">
            <v>(0H ÀS 6H)</v>
          </cell>
          <cell r="L144">
            <v>6</v>
          </cell>
          <cell r="M144">
            <v>26</v>
          </cell>
          <cell r="N144">
            <v>24</v>
          </cell>
          <cell r="O144">
            <v>6</v>
          </cell>
          <cell r="P144">
            <v>5</v>
          </cell>
          <cell r="Q144">
            <v>1</v>
          </cell>
          <cell r="R144">
            <v>1751.7976439814811</v>
          </cell>
          <cell r="S144">
            <v>0</v>
          </cell>
          <cell r="T144">
            <v>697.14478154055507</v>
          </cell>
          <cell r="U144">
            <v>10.65232018806598</v>
          </cell>
          <cell r="V144">
            <v>57.065983887696014</v>
          </cell>
          <cell r="W144">
            <v>0</v>
          </cell>
          <cell r="X144">
            <v>0</v>
          </cell>
          <cell r="Y144">
            <v>0</v>
          </cell>
          <cell r="Z144">
            <v>2516.6607295977979</v>
          </cell>
          <cell r="AA144">
            <v>0.81799999999999995</v>
          </cell>
          <cell r="AB144">
            <v>2058.6284768109986</v>
          </cell>
          <cell r="AC144">
            <v>26.792727272727276</v>
          </cell>
          <cell r="AD144">
            <v>0</v>
          </cell>
          <cell r="AE144">
            <v>26.792727272727276</v>
          </cell>
          <cell r="AF144">
            <v>3.3634514764444434</v>
          </cell>
          <cell r="AG144">
            <v>386.61353030303007</v>
          </cell>
          <cell r="AH144">
            <v>0</v>
          </cell>
          <cell r="AI144">
            <v>0</v>
          </cell>
          <cell r="AJ144">
            <v>7.0000000000000007E-2</v>
          </cell>
          <cell r="AK144">
            <v>388.05472408226996</v>
          </cell>
          <cell r="AL144">
            <v>5380.11</v>
          </cell>
          <cell r="AM144">
            <v>136.36363636363637</v>
          </cell>
          <cell r="AN144">
            <v>651.86</v>
          </cell>
        </row>
        <row r="145">
          <cell r="A145">
            <v>1308</v>
          </cell>
          <cell r="B145" t="str">
            <v>OPERADOR DE CFTV</v>
          </cell>
          <cell r="C145">
            <v>30</v>
          </cell>
          <cell r="D145">
            <v>150</v>
          </cell>
          <cell r="E145" t="str">
            <v>ESCALA NOTURNA</v>
          </cell>
          <cell r="F145" t="str">
            <v>OPERADOR DE CFTV (0H ÀS 6H) - (PERIC.) - ESCALA NOTURNA - 30H</v>
          </cell>
          <cell r="G145">
            <v>150</v>
          </cell>
          <cell r="H145" t="str">
            <v>(0H ÀS 6H)</v>
          </cell>
          <cell r="I145" t="str">
            <v>X</v>
          </cell>
          <cell r="K145" t="str">
            <v>X</v>
          </cell>
          <cell r="L145">
            <v>6</v>
          </cell>
          <cell r="M145">
            <v>26</v>
          </cell>
          <cell r="N145">
            <v>24</v>
          </cell>
          <cell r="O145">
            <v>6</v>
          </cell>
          <cell r="P145">
            <v>5</v>
          </cell>
          <cell r="Q145">
            <v>1</v>
          </cell>
          <cell r="R145">
            <v>1751.7976439814811</v>
          </cell>
          <cell r="S145">
            <v>525.53929319444433</v>
          </cell>
          <cell r="T145">
            <v>906.28821600272181</v>
          </cell>
          <cell r="U145">
            <v>13.848016244485775</v>
          </cell>
          <cell r="V145">
            <v>74.185779054004811</v>
          </cell>
          <cell r="W145">
            <v>0</v>
          </cell>
          <cell r="X145">
            <v>123.35575076369595</v>
          </cell>
          <cell r="Y145">
            <v>0</v>
          </cell>
          <cell r="Z145">
            <v>3395.014699240834</v>
          </cell>
          <cell r="AA145">
            <v>0.81799999999999995</v>
          </cell>
          <cell r="AB145">
            <v>2777.1220239790023</v>
          </cell>
          <cell r="AC145">
            <v>26.792727272727276</v>
          </cell>
          <cell r="AD145">
            <v>0</v>
          </cell>
          <cell r="AE145">
            <v>26.792727272727276</v>
          </cell>
          <cell r="AF145">
            <v>3.3634514764444434</v>
          </cell>
          <cell r="AG145">
            <v>386.61353030303007</v>
          </cell>
          <cell r="AH145">
            <v>0</v>
          </cell>
          <cell r="AI145">
            <v>0</v>
          </cell>
          <cell r="AJ145">
            <v>7.0000000000000007E-2</v>
          </cell>
          <cell r="AK145">
            <v>499.83405025904273</v>
          </cell>
          <cell r="AL145">
            <v>7088.74</v>
          </cell>
          <cell r="AM145">
            <v>136.36363636363637</v>
          </cell>
          <cell r="AN145">
            <v>651.86</v>
          </cell>
        </row>
        <row r="146">
          <cell r="A146">
            <v>1</v>
          </cell>
          <cell r="B146" t="str">
            <v>OPERADOR DE CFTV</v>
          </cell>
          <cell r="C146">
            <v>36</v>
          </cell>
          <cell r="D146">
            <v>180</v>
          </cell>
          <cell r="E146" t="str">
            <v>DIARISTA DIURNO</v>
          </cell>
          <cell r="F146" t="str">
            <v>OPERADOR DE CFTV - DIARISTA DIURNO - 36H</v>
          </cell>
          <cell r="G146">
            <v>180</v>
          </cell>
          <cell r="L146">
            <v>6</v>
          </cell>
          <cell r="M146">
            <v>26</v>
          </cell>
          <cell r="N146">
            <v>24</v>
          </cell>
          <cell r="O146">
            <v>6</v>
          </cell>
          <cell r="R146">
            <v>2102.1571727777773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2102.1571727777773</v>
          </cell>
          <cell r="AA146">
            <v>0.81799999999999995</v>
          </cell>
          <cell r="AB146">
            <v>1719.5645673322217</v>
          </cell>
          <cell r="AC146">
            <v>26.792727272727276</v>
          </cell>
          <cell r="AD146">
            <v>0</v>
          </cell>
          <cell r="AE146">
            <v>26.792727272727276</v>
          </cell>
          <cell r="AF146">
            <v>4.0361417717333321</v>
          </cell>
          <cell r="AG146">
            <v>369.87863636363613</v>
          </cell>
          <cell r="AH146">
            <v>0</v>
          </cell>
          <cell r="AI146">
            <v>0</v>
          </cell>
          <cell r="AJ146">
            <v>7.0000000000000007E-2</v>
          </cell>
          <cell r="AK146">
            <v>334.18064718626681</v>
          </cell>
          <cell r="AL146">
            <v>4556.6000000000004</v>
          </cell>
          <cell r="AM146">
            <v>163.63636363636365</v>
          </cell>
          <cell r="AN146">
            <v>651.86</v>
          </cell>
        </row>
        <row r="147">
          <cell r="A147">
            <v>1178</v>
          </cell>
          <cell r="B147" t="str">
            <v>OPERADOR DE CFTV</v>
          </cell>
          <cell r="C147">
            <v>36</v>
          </cell>
          <cell r="D147">
            <v>180</v>
          </cell>
          <cell r="E147" t="str">
            <v>ESCALA DIURNA</v>
          </cell>
          <cell r="F147" t="str">
            <v>OPERADOR DE CFTV - (PERIC.) - ESCALA DIURNA - 36H</v>
          </cell>
          <cell r="G147">
            <v>180</v>
          </cell>
          <cell r="I147" t="str">
            <v>X</v>
          </cell>
          <cell r="K147" t="str">
            <v>x</v>
          </cell>
          <cell r="L147">
            <v>6</v>
          </cell>
          <cell r="M147">
            <v>26</v>
          </cell>
          <cell r="N147">
            <v>24</v>
          </cell>
          <cell r="O147">
            <v>6</v>
          </cell>
          <cell r="R147">
            <v>2102.1571727777773</v>
          </cell>
          <cell r="S147">
            <v>630.64715183333317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123.35575076369595</v>
          </cell>
          <cell r="Y147">
            <v>0</v>
          </cell>
          <cell r="Z147">
            <v>2856.1600753748066</v>
          </cell>
          <cell r="AA147">
            <v>0.81799999999999995</v>
          </cell>
          <cell r="AB147">
            <v>2336.3389416565915</v>
          </cell>
          <cell r="AC147">
            <v>26.792727272727276</v>
          </cell>
          <cell r="AD147">
            <v>0</v>
          </cell>
          <cell r="AE147">
            <v>26.792727272727276</v>
          </cell>
          <cell r="AF147">
            <v>4.0361417717333321</v>
          </cell>
          <cell r="AG147">
            <v>369.87863636363613</v>
          </cell>
          <cell r="AH147">
            <v>0</v>
          </cell>
          <cell r="AI147">
            <v>0</v>
          </cell>
          <cell r="AJ147">
            <v>7.0000000000000007E-2</v>
          </cell>
          <cell r="AK147">
            <v>430.13505657076473</v>
          </cell>
          <cell r="AL147">
            <v>6023.34</v>
          </cell>
          <cell r="AM147">
            <v>163.63636363636365</v>
          </cell>
          <cell r="AN147">
            <v>651.86</v>
          </cell>
        </row>
        <row r="148">
          <cell r="A148">
            <v>5</v>
          </cell>
          <cell r="B148" t="str">
            <v>OPERADOR DE CFTV</v>
          </cell>
          <cell r="C148">
            <v>36</v>
          </cell>
          <cell r="D148">
            <v>180</v>
          </cell>
          <cell r="E148" t="str">
            <v>DIARISTA NOTURNO</v>
          </cell>
          <cell r="F148" t="str">
            <v>OPERADOR DE CFTV (18H ÀS 0H) - DIARISTA NOTURNO - 36H</v>
          </cell>
          <cell r="G148">
            <v>180</v>
          </cell>
          <cell r="H148" t="str">
            <v>(18H ÀS 0H)</v>
          </cell>
          <cell r="L148">
            <v>6</v>
          </cell>
          <cell r="M148">
            <v>26</v>
          </cell>
          <cell r="N148">
            <v>24</v>
          </cell>
          <cell r="O148">
            <v>6</v>
          </cell>
          <cell r="P148">
            <v>2</v>
          </cell>
          <cell r="R148">
            <v>2102.1571727777773</v>
          </cell>
          <cell r="S148">
            <v>0</v>
          </cell>
          <cell r="T148">
            <v>278.85791261622205</v>
          </cell>
          <cell r="U148">
            <v>0</v>
          </cell>
          <cell r="V148">
            <v>22.826393555078408</v>
          </cell>
          <cell r="W148">
            <v>0</v>
          </cell>
          <cell r="X148">
            <v>0</v>
          </cell>
          <cell r="Y148">
            <v>0</v>
          </cell>
          <cell r="Z148">
            <v>2403.841478949078</v>
          </cell>
          <cell r="AA148">
            <v>0.81799999999999995</v>
          </cell>
          <cell r="AB148">
            <v>1966.3423297803456</v>
          </cell>
          <cell r="AC148">
            <v>26.792727272727276</v>
          </cell>
          <cell r="AD148">
            <v>0</v>
          </cell>
          <cell r="AE148">
            <v>26.792727272727276</v>
          </cell>
          <cell r="AF148">
            <v>4.0361417717333321</v>
          </cell>
          <cell r="AG148">
            <v>369.87863636363613</v>
          </cell>
          <cell r="AH148">
            <v>0</v>
          </cell>
          <cell r="AI148">
            <v>0</v>
          </cell>
          <cell r="AJ148">
            <v>7.0000000000000007E-2</v>
          </cell>
          <cell r="AK148">
            <v>372.57299198962653</v>
          </cell>
          <cell r="AL148">
            <v>5143.46</v>
          </cell>
          <cell r="AM148">
            <v>163.63636363636365</v>
          </cell>
          <cell r="AN148">
            <v>651.86</v>
          </cell>
        </row>
        <row r="149">
          <cell r="A149">
            <v>1179</v>
          </cell>
          <cell r="B149" t="str">
            <v>OPERADOR DE CFTV</v>
          </cell>
          <cell r="C149">
            <v>36</v>
          </cell>
          <cell r="D149">
            <v>180</v>
          </cell>
          <cell r="E149" t="str">
            <v>ESCALA NOTURNA</v>
          </cell>
          <cell r="F149" t="str">
            <v>OPERADOR DE CFTV (18H ÀS 0H) - (PERIC.) - ESCALA NOTURNA - 36H</v>
          </cell>
          <cell r="G149">
            <v>180</v>
          </cell>
          <cell r="H149" t="str">
            <v>(18H ÀS 0H)</v>
          </cell>
          <cell r="I149" t="str">
            <v>X</v>
          </cell>
          <cell r="K149" t="str">
            <v>X</v>
          </cell>
          <cell r="L149">
            <v>6</v>
          </cell>
          <cell r="M149">
            <v>26</v>
          </cell>
          <cell r="N149">
            <v>24</v>
          </cell>
          <cell r="O149">
            <v>6</v>
          </cell>
          <cell r="P149">
            <v>2</v>
          </cell>
          <cell r="R149">
            <v>2102.1571727777773</v>
          </cell>
          <cell r="S149">
            <v>630.64715183333317</v>
          </cell>
          <cell r="T149">
            <v>362.5152864010887</v>
          </cell>
          <cell r="U149">
            <v>0</v>
          </cell>
          <cell r="V149">
            <v>29.674311621601934</v>
          </cell>
          <cell r="W149">
            <v>0</v>
          </cell>
          <cell r="X149">
            <v>123.35575076369595</v>
          </cell>
          <cell r="Y149">
            <v>0</v>
          </cell>
          <cell r="Z149">
            <v>3248.3496733974976</v>
          </cell>
          <cell r="AA149">
            <v>0.81799999999999995</v>
          </cell>
          <cell r="AB149">
            <v>2657.150032839153</v>
          </cell>
          <cell r="AC149">
            <v>26.792727272727276</v>
          </cell>
          <cell r="AD149">
            <v>0</v>
          </cell>
          <cell r="AE149">
            <v>26.792727272727276</v>
          </cell>
          <cell r="AF149">
            <v>4.0361417717333321</v>
          </cell>
          <cell r="AG149">
            <v>369.87863636363613</v>
          </cell>
          <cell r="AH149">
            <v>0</v>
          </cell>
          <cell r="AI149">
            <v>0</v>
          </cell>
          <cell r="AJ149">
            <v>7.0000000000000007E-2</v>
          </cell>
          <cell r="AK149">
            <v>480.04510481513245</v>
          </cell>
          <cell r="AL149">
            <v>6786.25</v>
          </cell>
          <cell r="AM149">
            <v>163.63636363636365</v>
          </cell>
          <cell r="AN149">
            <v>651.86</v>
          </cell>
        </row>
        <row r="150">
          <cell r="A150" t="str">
            <v>C</v>
          </cell>
          <cell r="B150" t="str">
            <v>OPERADOR DE CFTV</v>
          </cell>
          <cell r="C150">
            <v>44</v>
          </cell>
          <cell r="D150">
            <v>210</v>
          </cell>
          <cell r="E150" t="str">
            <v>12x36 DIURNO</v>
          </cell>
          <cell r="F150" t="str">
            <v>OPERADOR DE CFTV - (PERIC.) - 12x36 DIURNO - 44H</v>
          </cell>
          <cell r="G150">
            <v>210</v>
          </cell>
          <cell r="I150" t="str">
            <v>X</v>
          </cell>
          <cell r="L150">
            <v>12</v>
          </cell>
          <cell r="M150">
            <v>15.22</v>
          </cell>
          <cell r="N150">
            <v>24</v>
          </cell>
          <cell r="O150">
            <v>6</v>
          </cell>
          <cell r="R150">
            <v>2569.3032111728389</v>
          </cell>
          <cell r="S150">
            <v>770.7909633518517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4.6390196868398474</v>
          </cell>
          <cell r="Z150">
            <v>3344.7331942115302</v>
          </cell>
          <cell r="AA150">
            <v>0.81799999999999995</v>
          </cell>
          <cell r="AB150">
            <v>2735.9917528650317</v>
          </cell>
          <cell r="AC150">
            <v>26.792727272727276</v>
          </cell>
          <cell r="AD150">
            <v>0</v>
          </cell>
          <cell r="AE150">
            <v>26.792727272727276</v>
          </cell>
          <cell r="AF150">
            <v>4.9330621654518501</v>
          </cell>
          <cell r="AG150">
            <v>347.56544444444415</v>
          </cell>
          <cell r="AH150">
            <v>0</v>
          </cell>
          <cell r="AI150">
            <v>0</v>
          </cell>
          <cell r="AJ150">
            <v>7.0000000000000007E-2</v>
          </cell>
          <cell r="AK150">
            <v>490.81173266714308</v>
          </cell>
          <cell r="AL150">
            <v>6950.82</v>
          </cell>
          <cell r="AM150">
            <v>200.00000000000003</v>
          </cell>
          <cell r="AN150">
            <v>551.58000000000004</v>
          </cell>
        </row>
        <row r="151">
          <cell r="A151" t="str">
            <v>D</v>
          </cell>
          <cell r="B151" t="str">
            <v>OPERADOR DE CFTV</v>
          </cell>
          <cell r="C151">
            <v>44</v>
          </cell>
          <cell r="D151">
            <v>210</v>
          </cell>
          <cell r="E151" t="str">
            <v>12x36 NOTURNO</v>
          </cell>
          <cell r="F151" t="str">
            <v>OPERADOR DE CFTV - (PERIC.) - 12x36 NOTURNO - 44H</v>
          </cell>
          <cell r="G151">
            <v>210</v>
          </cell>
          <cell r="I151" t="str">
            <v>X</v>
          </cell>
          <cell r="L151">
            <v>12</v>
          </cell>
          <cell r="M151">
            <v>15.22</v>
          </cell>
          <cell r="N151">
            <v>24</v>
          </cell>
          <cell r="O151">
            <v>6</v>
          </cell>
          <cell r="P151">
            <v>7</v>
          </cell>
          <cell r="Q151">
            <v>2</v>
          </cell>
          <cell r="R151">
            <v>2569.3032111728389</v>
          </cell>
          <cell r="S151">
            <v>770.7909633518517</v>
          </cell>
          <cell r="T151">
            <v>778.10652883679836</v>
          </cell>
          <cell r="U151">
            <v>16.984870913200066</v>
          </cell>
          <cell r="V151">
            <v>63.693246816520457</v>
          </cell>
          <cell r="W151">
            <v>0</v>
          </cell>
          <cell r="X151">
            <v>0</v>
          </cell>
          <cell r="Y151">
            <v>4.6390196868398474</v>
          </cell>
          <cell r="Z151">
            <v>4203.5178407780495</v>
          </cell>
          <cell r="AA151">
            <v>0.81799999999999995</v>
          </cell>
          <cell r="AB151">
            <v>3438.4775937564441</v>
          </cell>
          <cell r="AC151">
            <v>26.792727272727276</v>
          </cell>
          <cell r="AD151">
            <v>0</v>
          </cell>
          <cell r="AE151">
            <v>26.792727272727276</v>
          </cell>
          <cell r="AF151">
            <v>4.9330621654518501</v>
          </cell>
          <cell r="AG151">
            <v>347.56544444444415</v>
          </cell>
          <cell r="AH151">
            <v>0</v>
          </cell>
          <cell r="AI151">
            <v>0</v>
          </cell>
          <cell r="AJ151">
            <v>7.0000000000000007E-2</v>
          </cell>
          <cell r="AK151">
            <v>600.10066678919839</v>
          </cell>
          <cell r="AL151">
            <v>8621.3799999999992</v>
          </cell>
          <cell r="AM151">
            <v>200.00000000000003</v>
          </cell>
          <cell r="AN151">
            <v>551.58000000000004</v>
          </cell>
        </row>
        <row r="152">
          <cell r="A152">
            <v>117</v>
          </cell>
          <cell r="B152" t="str">
            <v>OPERADOR DE EMPILHADEIRA</v>
          </cell>
          <cell r="C152">
            <v>44</v>
          </cell>
          <cell r="D152">
            <v>220</v>
          </cell>
          <cell r="E152" t="str">
            <v>DIARISTA DIURNO</v>
          </cell>
          <cell r="F152" t="str">
            <v>OPERADOR DE EMPILHADEIRA - DIARISTA DIURNO - 44H</v>
          </cell>
          <cell r="G152">
            <v>220</v>
          </cell>
          <cell r="L152">
            <v>8</v>
          </cell>
          <cell r="M152">
            <v>22</v>
          </cell>
          <cell r="N152">
            <v>24</v>
          </cell>
          <cell r="O152">
            <v>6</v>
          </cell>
          <cell r="R152">
            <v>2622.7742499999999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2622.7742499999999</v>
          </cell>
          <cell r="AA152">
            <v>0.81799999999999995</v>
          </cell>
          <cell r="AB152">
            <v>2145.4293364999999</v>
          </cell>
          <cell r="AC152">
            <v>20.923636363636362</v>
          </cell>
          <cell r="AD152">
            <v>11.804545454545455</v>
          </cell>
          <cell r="AE152">
            <v>32.728181818181817</v>
          </cell>
          <cell r="AF152">
            <v>5.0357265599999996</v>
          </cell>
          <cell r="AG152">
            <v>554.6966666666666</v>
          </cell>
          <cell r="AH152">
            <v>0</v>
          </cell>
          <cell r="AI152">
            <v>0</v>
          </cell>
          <cell r="AJ152">
            <v>7.0000000000000007E-2</v>
          </cell>
          <cell r="AK152">
            <v>413.85709130813939</v>
          </cell>
          <cell r="AL152">
            <v>5774.52</v>
          </cell>
          <cell r="AM152">
            <v>200.00000000000003</v>
          </cell>
          <cell r="AN152">
            <v>551.58000000000004</v>
          </cell>
        </row>
        <row r="153">
          <cell r="A153">
            <v>1906</v>
          </cell>
          <cell r="B153" t="str">
            <v>OPERADOR DE EMPILHADEIRA</v>
          </cell>
          <cell r="C153">
            <v>40</v>
          </cell>
          <cell r="D153">
            <v>200</v>
          </cell>
          <cell r="E153" t="str">
            <v>DIARISTA DIURNO</v>
          </cell>
          <cell r="F153" t="str">
            <v>OPERADOR DE EMPILHADEIRA - DIARISTA DIURNO - 40H</v>
          </cell>
          <cell r="G153">
            <v>200</v>
          </cell>
          <cell r="L153">
            <v>8</v>
          </cell>
          <cell r="M153">
            <v>22</v>
          </cell>
          <cell r="N153">
            <v>24</v>
          </cell>
          <cell r="O153">
            <v>6</v>
          </cell>
          <cell r="R153">
            <v>2384.3402272727271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2384.3402272727271</v>
          </cell>
          <cell r="AA153">
            <v>0.81799999999999995</v>
          </cell>
          <cell r="AB153">
            <v>1950.3903059090908</v>
          </cell>
          <cell r="AC153">
            <v>20.923636363636362</v>
          </cell>
          <cell r="AD153">
            <v>11.804545454545455</v>
          </cell>
          <cell r="AE153">
            <v>32.728181818181817</v>
          </cell>
          <cell r="AF153">
            <v>4.577933236363636</v>
          </cell>
          <cell r="AG153">
            <v>569.0030303030303</v>
          </cell>
          <cell r="AH153">
            <v>0</v>
          </cell>
          <cell r="AI153">
            <v>0</v>
          </cell>
          <cell r="AJ153">
            <v>7.0000000000000007E-2</v>
          </cell>
          <cell r="AK153">
            <v>384.48337749775754</v>
          </cell>
          <cell r="AL153">
            <v>5325.52</v>
          </cell>
          <cell r="AM153">
            <v>181.81818181818184</v>
          </cell>
          <cell r="AN153">
            <v>551.58000000000004</v>
          </cell>
        </row>
        <row r="154">
          <cell r="A154">
            <v>103</v>
          </cell>
          <cell r="B154" t="str">
            <v>OPERADOR DE MÁQUINAS AGRÍCOLAS</v>
          </cell>
          <cell r="C154">
            <v>40</v>
          </cell>
          <cell r="D154">
            <v>200</v>
          </cell>
          <cell r="E154" t="str">
            <v>DIARISTA DIURNO</v>
          </cell>
          <cell r="F154" t="str">
            <v>OPERADOR DE MÁQUINAS AGRÍCOLAS - (PERIC.) - DIARISTA DIURNO - 40H</v>
          </cell>
          <cell r="G154">
            <v>200</v>
          </cell>
          <cell r="I154" t="str">
            <v>X</v>
          </cell>
          <cell r="L154">
            <v>8</v>
          </cell>
          <cell r="M154">
            <v>22</v>
          </cell>
          <cell r="N154">
            <v>24</v>
          </cell>
          <cell r="O154">
            <v>6</v>
          </cell>
          <cell r="R154">
            <v>2553.0683499999996</v>
          </cell>
          <cell r="S154">
            <v>765.92050499999982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3318.9888549999996</v>
          </cell>
          <cell r="AA154">
            <v>0.81799999999999995</v>
          </cell>
          <cell r="AB154">
            <v>2714.9328833899995</v>
          </cell>
          <cell r="AC154">
            <v>31.89</v>
          </cell>
          <cell r="AD154">
            <v>104.32454545454544</v>
          </cell>
          <cell r="AE154">
            <v>136.21454545454543</v>
          </cell>
          <cell r="AF154">
            <v>4.9018912319999988</v>
          </cell>
          <cell r="AG154">
            <v>181.90909090909091</v>
          </cell>
          <cell r="AH154">
            <v>0</v>
          </cell>
          <cell r="AI154">
            <v>0</v>
          </cell>
          <cell r="AJ154">
            <v>7.0000000000000007E-2</v>
          </cell>
          <cell r="AK154">
            <v>486.6153086189945</v>
          </cell>
          <cell r="AL154">
            <v>6843.56</v>
          </cell>
          <cell r="AM154">
            <v>181.81818181818184</v>
          </cell>
          <cell r="AN154">
            <v>594.70000000000005</v>
          </cell>
        </row>
        <row r="155">
          <cell r="A155">
            <v>140</v>
          </cell>
          <cell r="B155" t="str">
            <v>OPERADOR DE POÇOS ARTESIANOS</v>
          </cell>
          <cell r="C155">
            <v>44</v>
          </cell>
          <cell r="D155">
            <v>210</v>
          </cell>
          <cell r="E155" t="str">
            <v>12x36 DIURNO</v>
          </cell>
          <cell r="F155" t="str">
            <v>OPERADOR DE POÇOS ARTESIANOS - 12x36 DIURNO - 44H</v>
          </cell>
          <cell r="G155">
            <v>210</v>
          </cell>
          <cell r="L155">
            <v>12</v>
          </cell>
          <cell r="M155">
            <v>15.22</v>
          </cell>
          <cell r="N155">
            <v>24</v>
          </cell>
          <cell r="O155">
            <v>6</v>
          </cell>
          <cell r="R155">
            <v>2543.0065624999997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3.5319535590277771</v>
          </cell>
          <cell r="Z155">
            <v>2546.5385160590276</v>
          </cell>
          <cell r="AA155">
            <v>0.81799999999999995</v>
          </cell>
          <cell r="AB155">
            <v>2083.0685061362847</v>
          </cell>
          <cell r="AC155">
            <v>20.923636363636362</v>
          </cell>
          <cell r="AD155">
            <v>54.956363636363633</v>
          </cell>
          <cell r="AE155">
            <v>75.88</v>
          </cell>
          <cell r="AF155">
            <v>4.8825725999999987</v>
          </cell>
          <cell r="AG155">
            <v>4.99999999995282E-4</v>
          </cell>
          <cell r="AH155">
            <v>0</v>
          </cell>
          <cell r="AI155">
            <v>0</v>
          </cell>
          <cell r="AJ155">
            <v>7.0000000000000007E-2</v>
          </cell>
          <cell r="AK155">
            <v>368.33650663567187</v>
          </cell>
          <cell r="AL155">
            <v>5078.7</v>
          </cell>
          <cell r="AM155">
            <v>200.00000000000003</v>
          </cell>
          <cell r="AN155">
            <v>551.58000000000004</v>
          </cell>
        </row>
        <row r="156">
          <cell r="A156">
            <v>141</v>
          </cell>
          <cell r="B156" t="str">
            <v>OPERADOR DE POÇOS ARTESIANOS</v>
          </cell>
          <cell r="C156">
            <v>44</v>
          </cell>
          <cell r="D156">
            <v>210</v>
          </cell>
          <cell r="E156" t="str">
            <v>12x36 NOTURNO</v>
          </cell>
          <cell r="F156" t="str">
            <v>OPERADOR DE POÇOS ARTESIANOS - 12x36 NOTURNO - 44H</v>
          </cell>
          <cell r="G156">
            <v>210</v>
          </cell>
          <cell r="L156">
            <v>12</v>
          </cell>
          <cell r="M156">
            <v>15.22</v>
          </cell>
          <cell r="N156">
            <v>24</v>
          </cell>
          <cell r="O156">
            <v>6</v>
          </cell>
          <cell r="P156">
            <v>7</v>
          </cell>
          <cell r="Q156">
            <v>2</v>
          </cell>
          <cell r="R156">
            <v>2543.0065624999997</v>
          </cell>
          <cell r="S156">
            <v>0</v>
          </cell>
          <cell r="T156">
            <v>592.41743069644292</v>
          </cell>
          <cell r="U156">
            <v>12.931562985534567</v>
          </cell>
          <cell r="V156">
            <v>48.493346647746279</v>
          </cell>
          <cell r="W156">
            <v>0</v>
          </cell>
          <cell r="X156">
            <v>0</v>
          </cell>
          <cell r="Y156">
            <v>3.5319535590277771</v>
          </cell>
          <cell r="Z156">
            <v>3200.3808563887515</v>
          </cell>
          <cell r="AA156">
            <v>0.81799999999999995</v>
          </cell>
          <cell r="AB156">
            <v>2617.9115405259986</v>
          </cell>
          <cell r="AC156">
            <v>20.923636363636362</v>
          </cell>
          <cell r="AD156">
            <v>54.956363636363633</v>
          </cell>
          <cell r="AE156">
            <v>75.88</v>
          </cell>
          <cell r="AF156">
            <v>4.8825725999999987</v>
          </cell>
          <cell r="AG156">
            <v>4.99999999995282E-4</v>
          </cell>
          <cell r="AH156">
            <v>0</v>
          </cell>
          <cell r="AI156">
            <v>0</v>
          </cell>
          <cell r="AJ156">
            <v>7.0000000000000007E-2</v>
          </cell>
          <cell r="AK156">
            <v>451.54448286603258</v>
          </cell>
          <cell r="AL156">
            <v>6350.59</v>
          </cell>
          <cell r="AM156">
            <v>200.00000000000003</v>
          </cell>
          <cell r="AN156">
            <v>551.58000000000004</v>
          </cell>
        </row>
        <row r="157">
          <cell r="A157">
            <v>407</v>
          </cell>
          <cell r="B157" t="str">
            <v>OPERADOR DE SOM E IMAGEM</v>
          </cell>
          <cell r="C157">
            <v>40</v>
          </cell>
          <cell r="D157">
            <v>200</v>
          </cell>
          <cell r="E157" t="str">
            <v>DIARISTA DIURNO</v>
          </cell>
          <cell r="F157" t="str">
            <v>OPERADOR DE SOM E IMAGEM - DIARISTA DIURNO - 40H</v>
          </cell>
          <cell r="G157">
            <v>200</v>
          </cell>
          <cell r="L157">
            <v>8</v>
          </cell>
          <cell r="M157">
            <v>22</v>
          </cell>
          <cell r="N157">
            <v>24</v>
          </cell>
          <cell r="O157">
            <v>6</v>
          </cell>
          <cell r="R157">
            <v>2418.9415454545456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2418.9415454545456</v>
          </cell>
          <cell r="AA157">
            <v>0.81799999999999995</v>
          </cell>
          <cell r="AB157">
            <v>1978.6941841818182</v>
          </cell>
          <cell r="AC157">
            <v>20.923636363636362</v>
          </cell>
          <cell r="AD157">
            <v>11.026363636363635</v>
          </cell>
          <cell r="AE157">
            <v>31.949999999999996</v>
          </cell>
          <cell r="AF157">
            <v>4.644367767272727</v>
          </cell>
          <cell r="AG157">
            <v>162.73909090909092</v>
          </cell>
          <cell r="AH157">
            <v>0</v>
          </cell>
          <cell r="AI157">
            <v>0</v>
          </cell>
          <cell r="AJ157">
            <v>7.0000000000000007E-2</v>
          </cell>
          <cell r="AK157">
            <v>360.39844318189091</v>
          </cell>
          <cell r="AL157">
            <v>4957.3599999999997</v>
          </cell>
          <cell r="AM157">
            <v>181.81818181818184</v>
          </cell>
          <cell r="AN157">
            <v>551.58000000000004</v>
          </cell>
        </row>
        <row r="158">
          <cell r="A158">
            <v>249</v>
          </cell>
          <cell r="B158" t="str">
            <v>OPERADOR DE SOM E IMAGEM</v>
          </cell>
          <cell r="C158">
            <v>44</v>
          </cell>
          <cell r="D158">
            <v>220</v>
          </cell>
          <cell r="E158" t="str">
            <v>DIARISTA DIURNO</v>
          </cell>
          <cell r="F158" t="str">
            <v>OPERADOR DE SOM E IMAGEM - DIARISTA DIURNO - 44H</v>
          </cell>
          <cell r="G158">
            <v>220</v>
          </cell>
          <cell r="L158">
            <v>8</v>
          </cell>
          <cell r="M158">
            <v>22</v>
          </cell>
          <cell r="N158">
            <v>24</v>
          </cell>
          <cell r="O158">
            <v>6</v>
          </cell>
          <cell r="R158">
            <v>2660.8357000000001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2660.8357000000001</v>
          </cell>
          <cell r="AA158">
            <v>0.81799999999999995</v>
          </cell>
          <cell r="AB158">
            <v>2176.5636025999997</v>
          </cell>
          <cell r="AC158">
            <v>20.923636363636362</v>
          </cell>
          <cell r="AD158">
            <v>11.026363636363635</v>
          </cell>
          <cell r="AE158">
            <v>31.949999999999996</v>
          </cell>
          <cell r="AF158">
            <v>5.1088045439999998</v>
          </cell>
          <cell r="AG158">
            <v>153.73500000000001</v>
          </cell>
          <cell r="AH158">
            <v>0</v>
          </cell>
          <cell r="AI158">
            <v>0</v>
          </cell>
          <cell r="AJ158">
            <v>7.0000000000000007E-2</v>
          </cell>
          <cell r="AK158">
            <v>390.58411750007997</v>
          </cell>
          <cell r="AL158">
            <v>5418.77</v>
          </cell>
          <cell r="AM158">
            <v>200.00000000000003</v>
          </cell>
          <cell r="AN158">
            <v>551.58000000000004</v>
          </cell>
        </row>
        <row r="159">
          <cell r="A159">
            <v>1907</v>
          </cell>
          <cell r="B159" t="str">
            <v>OPERADOR FABRIL</v>
          </cell>
          <cell r="C159">
            <v>40</v>
          </cell>
          <cell r="D159">
            <v>200</v>
          </cell>
          <cell r="E159" t="str">
            <v>DIARISTA DIURNO</v>
          </cell>
          <cell r="F159" t="str">
            <v>OPERADOR FABRIL - DIARISTA DIURNO - 40H</v>
          </cell>
          <cell r="G159">
            <v>200</v>
          </cell>
          <cell r="L159">
            <v>8</v>
          </cell>
          <cell r="M159">
            <v>22</v>
          </cell>
          <cell r="N159">
            <v>24</v>
          </cell>
          <cell r="O159">
            <v>6</v>
          </cell>
          <cell r="R159">
            <v>2282.3647500000002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2282.3647500000002</v>
          </cell>
          <cell r="AA159">
            <v>0.81799999999999995</v>
          </cell>
          <cell r="AB159">
            <v>1866.9743655</v>
          </cell>
          <cell r="AC159">
            <v>0</v>
          </cell>
          <cell r="AD159">
            <v>29.12</v>
          </cell>
          <cell r="AE159">
            <v>29.12</v>
          </cell>
          <cell r="AF159">
            <v>4.3821403199999995</v>
          </cell>
          <cell r="AG159">
            <v>413.05454545454546</v>
          </cell>
          <cell r="AH159">
            <v>0</v>
          </cell>
          <cell r="AI159">
            <v>0</v>
          </cell>
          <cell r="AJ159">
            <v>7.0000000000000007E-2</v>
          </cell>
          <cell r="AK159">
            <v>360.32330608921819</v>
          </cell>
          <cell r="AL159">
            <v>4956.21</v>
          </cell>
          <cell r="AM159">
            <v>181.81818181818184</v>
          </cell>
          <cell r="AN159">
            <v>551.58000000000004</v>
          </cell>
        </row>
        <row r="160">
          <cell r="A160">
            <v>247</v>
          </cell>
          <cell r="B160" t="str">
            <v>ORIENTADOR AMBIENTAL</v>
          </cell>
          <cell r="C160">
            <v>40</v>
          </cell>
          <cell r="D160">
            <v>200</v>
          </cell>
          <cell r="E160" t="str">
            <v>DIARISTA DIURNO</v>
          </cell>
          <cell r="F160" t="str">
            <v>ORIENTADOR AMBIENTAL - DIARISTA DIURNO - 40H</v>
          </cell>
          <cell r="G160">
            <v>200</v>
          </cell>
          <cell r="L160">
            <v>8</v>
          </cell>
          <cell r="M160">
            <v>26</v>
          </cell>
          <cell r="N160">
            <v>24</v>
          </cell>
          <cell r="O160">
            <v>6</v>
          </cell>
          <cell r="R160">
            <v>2435.3723992424261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2435.3723992424261</v>
          </cell>
          <cell r="AA160">
            <v>0.81799999999999995</v>
          </cell>
          <cell r="AB160">
            <v>1992.1346225803045</v>
          </cell>
          <cell r="AC160">
            <v>30.014545454545452</v>
          </cell>
          <cell r="AD160">
            <v>237.42725420875416</v>
          </cell>
          <cell r="AE160">
            <v>267.44179966329961</v>
          </cell>
          <cell r="AF160">
            <v>4.6759150065454573</v>
          </cell>
          <cell r="AG160">
            <v>244.28490909090917</v>
          </cell>
          <cell r="AH160">
            <v>0</v>
          </cell>
          <cell r="AI160">
            <v>0</v>
          </cell>
          <cell r="AJ160">
            <v>7.0000000000000007E-2</v>
          </cell>
          <cell r="AK160">
            <v>384.47483519084403</v>
          </cell>
          <cell r="AL160">
            <v>5328.38</v>
          </cell>
          <cell r="AM160">
            <v>181.81818181818184</v>
          </cell>
          <cell r="AN160">
            <v>648.33000000000004</v>
          </cell>
        </row>
        <row r="161">
          <cell r="A161">
            <v>1180</v>
          </cell>
          <cell r="B161" t="str">
            <v>ORIENTADOR AMBIENTAL</v>
          </cell>
          <cell r="C161">
            <v>40</v>
          </cell>
          <cell r="D161">
            <v>200</v>
          </cell>
          <cell r="E161" t="str">
            <v>DIARISTA DIURNO</v>
          </cell>
          <cell r="F161" t="str">
            <v>ORIENTADOR AMBIENTAL - (PERIC.) - DIARISTA DIURNO - 40H</v>
          </cell>
          <cell r="G161">
            <v>200</v>
          </cell>
          <cell r="I161" t="str">
            <v>X</v>
          </cell>
          <cell r="L161">
            <v>8</v>
          </cell>
          <cell r="M161">
            <v>26</v>
          </cell>
          <cell r="N161">
            <v>24</v>
          </cell>
          <cell r="O161">
            <v>6</v>
          </cell>
          <cell r="R161">
            <v>2435.3723992424261</v>
          </cell>
          <cell r="S161">
            <v>730.61171977272784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3165.9841190151537</v>
          </cell>
          <cell r="AA161">
            <v>0.81799999999999995</v>
          </cell>
          <cell r="AB161">
            <v>2589.7750093543955</v>
          </cell>
          <cell r="AC161">
            <v>30.014545454545452</v>
          </cell>
          <cell r="AD161">
            <v>237.42725420875416</v>
          </cell>
          <cell r="AE161">
            <v>267.44179966329961</v>
          </cell>
          <cell r="AF161">
            <v>4.6759150065454573</v>
          </cell>
          <cell r="AG161">
            <v>244.28490909090917</v>
          </cell>
          <cell r="AH161">
            <v>0</v>
          </cell>
          <cell r="AI161">
            <v>0</v>
          </cell>
          <cell r="AJ161">
            <v>7.0000000000000007E-2</v>
          </cell>
          <cell r="AK161">
            <v>477.45248264912141</v>
          </cell>
          <cell r="AL161">
            <v>6749.61</v>
          </cell>
          <cell r="AM161">
            <v>181.81818181818184</v>
          </cell>
          <cell r="AN161">
            <v>648.33000000000004</v>
          </cell>
        </row>
        <row r="162">
          <cell r="A162">
            <v>396</v>
          </cell>
          <cell r="B162" t="str">
            <v>ORIENTADOR AMBIENTAL</v>
          </cell>
          <cell r="C162">
            <v>44</v>
          </cell>
          <cell r="D162">
            <v>220</v>
          </cell>
          <cell r="E162" t="str">
            <v>DIARISTA DIURNO</v>
          </cell>
          <cell r="F162" t="str">
            <v>ORIENTADOR AMBIENTAL - (PERIC.) - DIARISTA DIURNO - 44H</v>
          </cell>
          <cell r="G162">
            <v>220</v>
          </cell>
          <cell r="I162" t="str">
            <v>x</v>
          </cell>
          <cell r="L162">
            <v>8</v>
          </cell>
          <cell r="M162">
            <v>26</v>
          </cell>
          <cell r="N162">
            <v>24</v>
          </cell>
          <cell r="O162">
            <v>6</v>
          </cell>
          <cell r="R162">
            <v>2678.9096391666685</v>
          </cell>
          <cell r="S162">
            <v>803.67289175000053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3482.5825309166689</v>
          </cell>
          <cell r="AA162">
            <v>0.81799999999999995</v>
          </cell>
          <cell r="AB162">
            <v>2848.7525102898348</v>
          </cell>
          <cell r="AC162">
            <v>30.014545454545452</v>
          </cell>
          <cell r="AD162">
            <v>237.42725420875416</v>
          </cell>
          <cell r="AE162">
            <v>267.44179966329961</v>
          </cell>
          <cell r="AF162">
            <v>5.1435065072000032</v>
          </cell>
          <cell r="AG162">
            <v>234.87788888888895</v>
          </cell>
          <cell r="AH162">
            <v>0</v>
          </cell>
          <cell r="AI162">
            <v>0</v>
          </cell>
          <cell r="AJ162">
            <v>7.0000000000000007E-2</v>
          </cell>
          <cell r="AK162">
            <v>517.11703653861252</v>
          </cell>
          <cell r="AL162">
            <v>7355.91</v>
          </cell>
          <cell r="AM162">
            <v>200.00000000000003</v>
          </cell>
          <cell r="AN162">
            <v>648.33000000000004</v>
          </cell>
        </row>
        <row r="163">
          <cell r="A163">
            <v>394</v>
          </cell>
          <cell r="B163" t="str">
            <v>ORIENTADOR AMBIENTAL</v>
          </cell>
          <cell r="C163">
            <v>44</v>
          </cell>
          <cell r="D163">
            <v>220</v>
          </cell>
          <cell r="E163" t="str">
            <v>DIARISTA DIURNO</v>
          </cell>
          <cell r="F163" t="str">
            <v>ORIENTADOR AMBIENTAL - DIARISTA DIURNO - 44H</v>
          </cell>
          <cell r="G163">
            <v>220</v>
          </cell>
          <cell r="L163">
            <v>8</v>
          </cell>
          <cell r="M163">
            <v>26</v>
          </cell>
          <cell r="N163">
            <v>24</v>
          </cell>
          <cell r="O163">
            <v>6</v>
          </cell>
          <cell r="R163">
            <v>2678.9096391666685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2678.9096391666685</v>
          </cell>
          <cell r="AA163">
            <v>0.81799999999999995</v>
          </cell>
          <cell r="AB163">
            <v>2191.3480848383347</v>
          </cell>
          <cell r="AC163">
            <v>30.014545454545452</v>
          </cell>
          <cell r="AD163">
            <v>237.42725420875416</v>
          </cell>
          <cell r="AE163">
            <v>267.44179966329961</v>
          </cell>
          <cell r="AF163">
            <v>5.1435065072000032</v>
          </cell>
          <cell r="AG163">
            <v>234.87788888888895</v>
          </cell>
          <cell r="AH163">
            <v>0</v>
          </cell>
          <cell r="AI163">
            <v>0</v>
          </cell>
          <cell r="AJ163">
            <v>7.0000000000000007E-2</v>
          </cell>
          <cell r="AK163">
            <v>414.84162433450757</v>
          </cell>
          <cell r="AL163">
            <v>5792.56</v>
          </cell>
          <cell r="AM163">
            <v>200.00000000000003</v>
          </cell>
          <cell r="AN163">
            <v>648.33000000000004</v>
          </cell>
        </row>
        <row r="164">
          <cell r="A164">
            <v>1181</v>
          </cell>
          <cell r="B164" t="str">
            <v>PORTEIRO</v>
          </cell>
          <cell r="C164">
            <v>30</v>
          </cell>
          <cell r="D164">
            <v>150</v>
          </cell>
          <cell r="E164" t="str">
            <v>DIARISTA DIURNO</v>
          </cell>
          <cell r="F164" t="str">
            <v>PORTEIRO (SUBS. ABSENT.) - DIARISTA DIURNO - 30H</v>
          </cell>
          <cell r="G164">
            <v>150</v>
          </cell>
          <cell r="H164" t="str">
            <v>(SUBS. ABSENT.)</v>
          </cell>
          <cell r="L164">
            <v>6</v>
          </cell>
          <cell r="M164">
            <v>26</v>
          </cell>
          <cell r="N164">
            <v>24</v>
          </cell>
          <cell r="O164">
            <v>6</v>
          </cell>
          <cell r="R164">
            <v>1607.0528328134553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1607.0528328134553</v>
          </cell>
          <cell r="AA164">
            <v>0.81799999999999995</v>
          </cell>
          <cell r="AB164">
            <v>1314.5692172414065</v>
          </cell>
          <cell r="AC164">
            <v>52.672499999999992</v>
          </cell>
          <cell r="AD164">
            <v>1.721363914713578</v>
          </cell>
          <cell r="AE164">
            <v>54.39386391471357</v>
          </cell>
          <cell r="AF164">
            <v>3.0855414390018341</v>
          </cell>
          <cell r="AG164">
            <v>139.04494233419689</v>
          </cell>
          <cell r="AH164">
            <v>4.314396214862351E-2</v>
          </cell>
          <cell r="AI164">
            <v>158.12574391061219</v>
          </cell>
          <cell r="AJ164">
            <v>7.0000000000000007E-2</v>
          </cell>
          <cell r="AK164">
            <v>267.6238684724371</v>
          </cell>
          <cell r="AL164">
            <v>3543.89</v>
          </cell>
          <cell r="AM164">
            <v>136.36363636363637</v>
          </cell>
          <cell r="AN164">
            <v>646.36</v>
          </cell>
        </row>
        <row r="165">
          <cell r="A165">
            <v>1182</v>
          </cell>
          <cell r="B165" t="str">
            <v>PORTEIRO</v>
          </cell>
          <cell r="C165">
            <v>40</v>
          </cell>
          <cell r="D165">
            <v>200</v>
          </cell>
          <cell r="E165" t="str">
            <v>DIARISTA DIURNO</v>
          </cell>
          <cell r="F165" t="str">
            <v>PORTEIRO (SUBS. ABSENT.) - DIARISTA DIURNO - 40H</v>
          </cell>
          <cell r="G165">
            <v>200</v>
          </cell>
          <cell r="H165" t="str">
            <v>(SUBS. ABSENT.)</v>
          </cell>
          <cell r="L165">
            <v>8</v>
          </cell>
          <cell r="M165">
            <v>22</v>
          </cell>
          <cell r="N165">
            <v>24</v>
          </cell>
          <cell r="O165">
            <v>6</v>
          </cell>
          <cell r="R165">
            <v>2142.7371104179406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2142.7371104179406</v>
          </cell>
          <cell r="AA165">
            <v>0.81799999999999995</v>
          </cell>
          <cell r="AB165">
            <v>1752.7589563218753</v>
          </cell>
          <cell r="AC165">
            <v>52.672499999999992</v>
          </cell>
          <cell r="AD165">
            <v>1.721363914713578</v>
          </cell>
          <cell r="AE165">
            <v>54.39386391471357</v>
          </cell>
          <cell r="AF165">
            <v>4.1140552520024452</v>
          </cell>
          <cell r="AG165">
            <v>121.58518892992969</v>
          </cell>
          <cell r="AH165">
            <v>4.314396214862351E-2</v>
          </cell>
          <cell r="AI165">
            <v>199.43361884501522</v>
          </cell>
          <cell r="AJ165">
            <v>7.0000000000000007E-2</v>
          </cell>
          <cell r="AK165">
            <v>337.53641411440344</v>
          </cell>
          <cell r="AL165">
            <v>4612.55</v>
          </cell>
          <cell r="AM165">
            <v>181.81818181818184</v>
          </cell>
          <cell r="AN165">
            <v>546.91999999999996</v>
          </cell>
        </row>
        <row r="166">
          <cell r="A166">
            <v>1183</v>
          </cell>
          <cell r="B166" t="str">
            <v>PORTEIRO</v>
          </cell>
          <cell r="C166">
            <v>44</v>
          </cell>
          <cell r="D166">
            <v>220</v>
          </cell>
          <cell r="E166" t="str">
            <v>DIARISTA DIURNO</v>
          </cell>
          <cell r="F166" t="str">
            <v>PORTEIRO (SUBS. ABSENT.) - DIARISTA DIURNO - 44H</v>
          </cell>
          <cell r="G166">
            <v>220</v>
          </cell>
          <cell r="H166" t="str">
            <v>(SUBS. ABSENT.)</v>
          </cell>
          <cell r="L166">
            <v>8</v>
          </cell>
          <cell r="M166">
            <v>22</v>
          </cell>
          <cell r="N166">
            <v>24</v>
          </cell>
          <cell r="O166">
            <v>6</v>
          </cell>
          <cell r="R166">
            <v>2357.0108214597344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2357.0108214597344</v>
          </cell>
          <cell r="AA166">
            <v>0.81799999999999995</v>
          </cell>
          <cell r="AB166">
            <v>1928.0348519540626</v>
          </cell>
          <cell r="AC166">
            <v>52.672499999999992</v>
          </cell>
          <cell r="AD166">
            <v>1.721363914713578</v>
          </cell>
          <cell r="AE166">
            <v>54.39386391471357</v>
          </cell>
          <cell r="AF166">
            <v>4.5254607772026896</v>
          </cell>
          <cell r="AG166">
            <v>114.60128756822279</v>
          </cell>
          <cell r="AH166">
            <v>4.314396214862351E-2</v>
          </cell>
          <cell r="AI166">
            <v>215.95676881877645</v>
          </cell>
          <cell r="AJ166">
            <v>7.0000000000000007E-2</v>
          </cell>
          <cell r="AK166">
            <v>365.50143237118994</v>
          </cell>
          <cell r="AL166">
            <v>5040.0200000000004</v>
          </cell>
          <cell r="AM166">
            <v>200.00000000000003</v>
          </cell>
          <cell r="AN166">
            <v>546.91999999999996</v>
          </cell>
        </row>
        <row r="167">
          <cell r="A167">
            <v>1184</v>
          </cell>
          <cell r="B167" t="str">
            <v>PORTEIRO</v>
          </cell>
          <cell r="C167">
            <v>44</v>
          </cell>
          <cell r="D167">
            <v>210</v>
          </cell>
          <cell r="E167" t="str">
            <v>12x36 DIURNO</v>
          </cell>
          <cell r="F167" t="str">
            <v>PORTEIRO (SUBS. ABSENT.) - (PERIC.) - 12x36 DIURNO - 44H</v>
          </cell>
          <cell r="G167">
            <v>210</v>
          </cell>
          <cell r="H167" t="str">
            <v>(SUBS. ABSENT.)</v>
          </cell>
          <cell r="I167" t="str">
            <v>X</v>
          </cell>
          <cell r="J167" t="str">
            <v>X</v>
          </cell>
          <cell r="L167">
            <v>12</v>
          </cell>
          <cell r="M167">
            <v>15.22</v>
          </cell>
          <cell r="N167">
            <v>24</v>
          </cell>
          <cell r="O167">
            <v>6</v>
          </cell>
          <cell r="R167">
            <v>2357.0108214597344</v>
          </cell>
          <cell r="S167">
            <v>707.10324643792035</v>
          </cell>
          <cell r="T167">
            <v>0</v>
          </cell>
          <cell r="U167">
            <v>0</v>
          </cell>
          <cell r="V167">
            <v>0</v>
          </cell>
          <cell r="W167">
            <v>328.29793584617732</v>
          </cell>
          <cell r="X167">
            <v>0</v>
          </cell>
          <cell r="Y167">
            <v>4.2557139831911872</v>
          </cell>
          <cell r="Z167">
            <v>3396.6677177270235</v>
          </cell>
          <cell r="AA167">
            <v>0.81799999999999995</v>
          </cell>
          <cell r="AB167">
            <v>2778.4741931007052</v>
          </cell>
          <cell r="AC167">
            <v>52.672499999999992</v>
          </cell>
          <cell r="AD167">
            <v>1.721363914713578</v>
          </cell>
          <cell r="AE167">
            <v>54.39386391471357</v>
          </cell>
          <cell r="AF167">
            <v>4.5254607772026896</v>
          </cell>
          <cell r="AG167">
            <v>114.60128756822279</v>
          </cell>
          <cell r="AH167">
            <v>4.314396214862351E-2</v>
          </cell>
          <cell r="AI167">
            <v>297.50300934301885</v>
          </cell>
          <cell r="AJ167">
            <v>7.0000000000000007E-2</v>
          </cell>
          <cell r="AK167">
            <v>503.51640582686213</v>
          </cell>
          <cell r="AL167">
            <v>7149.68</v>
          </cell>
          <cell r="AM167">
            <v>200.00000000000003</v>
          </cell>
          <cell r="AN167">
            <v>546.91999999999996</v>
          </cell>
        </row>
        <row r="168">
          <cell r="A168">
            <v>1185</v>
          </cell>
          <cell r="B168" t="str">
            <v>PORTEIRO</v>
          </cell>
          <cell r="C168">
            <v>44</v>
          </cell>
          <cell r="D168">
            <v>210</v>
          </cell>
          <cell r="E168" t="str">
            <v>12x36 NOTURNO</v>
          </cell>
          <cell r="F168" t="str">
            <v>PORTEIRO (SUBS. ABSENT.) - (PERIC.) - 12x36 NOTURNO - 44H</v>
          </cell>
          <cell r="G168">
            <v>210</v>
          </cell>
          <cell r="H168" t="str">
            <v>(SUBS. ABSENT.)</v>
          </cell>
          <cell r="I168" t="str">
            <v>X</v>
          </cell>
          <cell r="J168" t="str">
            <v>X</v>
          </cell>
          <cell r="L168">
            <v>12</v>
          </cell>
          <cell r="M168">
            <v>15.22</v>
          </cell>
          <cell r="N168">
            <v>24</v>
          </cell>
          <cell r="O168">
            <v>6</v>
          </cell>
          <cell r="P168">
            <v>7</v>
          </cell>
          <cell r="Q168">
            <v>2</v>
          </cell>
          <cell r="R168">
            <v>2357.0108214597344</v>
          </cell>
          <cell r="S168">
            <v>707.10324643792035</v>
          </cell>
          <cell r="T168">
            <v>713.81435275582578</v>
          </cell>
          <cell r="U168">
            <v>15.581471415837555</v>
          </cell>
          <cell r="V168">
            <v>58.430500280235492</v>
          </cell>
          <cell r="W168">
            <v>328.29793584617732</v>
          </cell>
          <cell r="X168">
            <v>0</v>
          </cell>
          <cell r="Y168">
            <v>4.2557139831911872</v>
          </cell>
          <cell r="Z168">
            <v>4184.4940421789224</v>
          </cell>
          <cell r="AA168">
            <v>0.81799999999999995</v>
          </cell>
          <cell r="AB168">
            <v>3422.9161265023581</v>
          </cell>
          <cell r="AC168">
            <v>52.672499999999992</v>
          </cell>
          <cell r="AD168">
            <v>1.721363914713578</v>
          </cell>
          <cell r="AE168">
            <v>54.39386391471357</v>
          </cell>
          <cell r="AF168">
            <v>4.5254607772026896</v>
          </cell>
          <cell r="AG168">
            <v>114.60128756822279</v>
          </cell>
          <cell r="AH168">
            <v>4.314396214862351E-2</v>
          </cell>
          <cell r="AI168">
            <v>359.29673684652744</v>
          </cell>
          <cell r="AJ168">
            <v>7.0000000000000007E-2</v>
          </cell>
          <cell r="AK168">
            <v>608.10074480185642</v>
          </cell>
          <cell r="AL168">
            <v>8748.32</v>
          </cell>
          <cell r="AM168">
            <v>200.00000000000003</v>
          </cell>
          <cell r="AN168">
            <v>546.91999999999996</v>
          </cell>
        </row>
        <row r="169">
          <cell r="A169">
            <v>1186</v>
          </cell>
          <cell r="B169" t="str">
            <v>PORTEIRO</v>
          </cell>
          <cell r="C169">
            <v>44</v>
          </cell>
          <cell r="D169">
            <v>220</v>
          </cell>
          <cell r="E169" t="str">
            <v>DIARISTA DIURNO</v>
          </cell>
          <cell r="F169" t="str">
            <v>PORTEIRO (SUBS. ABSENT.) - (PERIC.) - DIARISTA DIURNO - 44H</v>
          </cell>
          <cell r="G169">
            <v>220</v>
          </cell>
          <cell r="H169" t="str">
            <v>(SUBS. ABSENT.)</v>
          </cell>
          <cell r="I169" t="str">
            <v>X</v>
          </cell>
          <cell r="J169" t="str">
            <v>X</v>
          </cell>
          <cell r="L169">
            <v>12</v>
          </cell>
          <cell r="M169">
            <v>15.22</v>
          </cell>
          <cell r="N169">
            <v>24</v>
          </cell>
          <cell r="O169">
            <v>6</v>
          </cell>
          <cell r="R169">
            <v>2357.0108214597344</v>
          </cell>
          <cell r="S169">
            <v>707.10324643792035</v>
          </cell>
          <cell r="T169">
            <v>0</v>
          </cell>
          <cell r="U169">
            <v>0</v>
          </cell>
          <cell r="V169">
            <v>0</v>
          </cell>
          <cell r="W169">
            <v>313.37530239862377</v>
          </cell>
          <cell r="X169">
            <v>0</v>
          </cell>
          <cell r="Y169">
            <v>0</v>
          </cell>
          <cell r="Z169">
            <v>3377.4893702962786</v>
          </cell>
          <cell r="AA169">
            <v>0.81799999999999995</v>
          </cell>
          <cell r="AB169">
            <v>2762.7863049023558</v>
          </cell>
          <cell r="AC169">
            <v>52.672499999999992</v>
          </cell>
          <cell r="AD169">
            <v>1.721363914713578</v>
          </cell>
          <cell r="AE169">
            <v>54.39386391471357</v>
          </cell>
          <cell r="AF169">
            <v>4.5254607772026896</v>
          </cell>
          <cell r="AG169">
            <v>114.60128756822279</v>
          </cell>
          <cell r="AH169">
            <v>4.314396214862351E-2</v>
          </cell>
          <cell r="AI169">
            <v>295.99874179277219</v>
          </cell>
          <cell r="AJ169">
            <v>7.0000000000000007E-2</v>
          </cell>
          <cell r="AK169">
            <v>500.97047060430833</v>
          </cell>
          <cell r="AL169">
            <v>7110.76</v>
          </cell>
          <cell r="AM169">
            <v>200.00000000000003</v>
          </cell>
          <cell r="AN169">
            <v>546.91999999999996</v>
          </cell>
        </row>
        <row r="170">
          <cell r="A170">
            <v>1187</v>
          </cell>
          <cell r="B170" t="str">
            <v>PORTEIRO</v>
          </cell>
          <cell r="C170">
            <v>44</v>
          </cell>
          <cell r="D170">
            <v>210</v>
          </cell>
          <cell r="E170" t="str">
            <v>12x36 DIURNO</v>
          </cell>
          <cell r="F170" t="str">
            <v>PORTEIRO (SUBS. ABSENT.) - 12x36 DIURNO - 44H</v>
          </cell>
          <cell r="G170">
            <v>210</v>
          </cell>
          <cell r="H170" t="str">
            <v>(SUBS. ABSENT.)</v>
          </cell>
          <cell r="J170" t="str">
            <v>X</v>
          </cell>
          <cell r="L170">
            <v>12</v>
          </cell>
          <cell r="M170">
            <v>15.22</v>
          </cell>
          <cell r="N170">
            <v>24</v>
          </cell>
          <cell r="O170">
            <v>6</v>
          </cell>
          <cell r="R170">
            <v>2357.0108214597344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252.53687372782872</v>
          </cell>
          <cell r="X170">
            <v>0</v>
          </cell>
          <cell r="Y170">
            <v>3.2736261409162979</v>
          </cell>
          <cell r="Z170">
            <v>2612.8213213284794</v>
          </cell>
          <cell r="AA170">
            <v>0.81799999999999995</v>
          </cell>
          <cell r="AB170">
            <v>2137.2878408466959</v>
          </cell>
          <cell r="AC170">
            <v>52.672499999999992</v>
          </cell>
          <cell r="AD170">
            <v>1.721363914713578</v>
          </cell>
          <cell r="AE170">
            <v>54.39386391471357</v>
          </cell>
          <cell r="AF170">
            <v>4.5254607772026896</v>
          </cell>
          <cell r="AG170">
            <v>114.60128756822279</v>
          </cell>
          <cell r="AH170">
            <v>4.314396214862351E-2</v>
          </cell>
          <cell r="AI170">
            <v>236.02145037460411</v>
          </cell>
          <cell r="AJ170">
            <v>7.0000000000000007E-2</v>
          </cell>
          <cell r="AK170">
            <v>399.46040429339433</v>
          </cell>
          <cell r="AL170">
            <v>5559.11</v>
          </cell>
          <cell r="AM170">
            <v>200.00000000000003</v>
          </cell>
          <cell r="AN170">
            <v>546.91999999999996</v>
          </cell>
        </row>
        <row r="171">
          <cell r="A171">
            <v>1188</v>
          </cell>
          <cell r="B171" t="str">
            <v>PORTEIRO</v>
          </cell>
          <cell r="C171">
            <v>44</v>
          </cell>
          <cell r="D171">
            <v>210</v>
          </cell>
          <cell r="E171" t="str">
            <v>12x36 NOTURNO</v>
          </cell>
          <cell r="F171" t="str">
            <v>PORTEIRO (SUBS. ABSENT.) - 12x36 NOTURNO - 44H</v>
          </cell>
          <cell r="G171">
            <v>210</v>
          </cell>
          <cell r="H171" t="str">
            <v>(SUBS. ABSENT.)</v>
          </cell>
          <cell r="J171" t="str">
            <v>X</v>
          </cell>
          <cell r="L171">
            <v>12</v>
          </cell>
          <cell r="M171">
            <v>15.22</v>
          </cell>
          <cell r="N171">
            <v>24</v>
          </cell>
          <cell r="O171">
            <v>6</v>
          </cell>
          <cell r="P171">
            <v>7</v>
          </cell>
          <cell r="Q171">
            <v>2</v>
          </cell>
          <cell r="R171">
            <v>2357.0108214597344</v>
          </cell>
          <cell r="S171">
            <v>0</v>
          </cell>
          <cell r="T171">
            <v>549.08796365832757</v>
          </cell>
          <cell r="U171">
            <v>11.985747242951966</v>
          </cell>
          <cell r="V171">
            <v>44.946538677104229</v>
          </cell>
          <cell r="W171">
            <v>252.53687372782872</v>
          </cell>
          <cell r="X171">
            <v>0</v>
          </cell>
          <cell r="Y171">
            <v>3.2736261409162979</v>
          </cell>
          <cell r="Z171">
            <v>3218.8415709068636</v>
          </cell>
          <cell r="AA171">
            <v>0.81799999999999995</v>
          </cell>
          <cell r="AB171">
            <v>2633.0124050018144</v>
          </cell>
          <cell r="AC171">
            <v>52.672499999999992</v>
          </cell>
          <cell r="AD171">
            <v>1.721363914713578</v>
          </cell>
          <cell r="AE171">
            <v>54.39386391471357</v>
          </cell>
          <cell r="AF171">
            <v>4.5254607772026896</v>
          </cell>
          <cell r="AG171">
            <v>114.60128756822279</v>
          </cell>
          <cell r="AH171">
            <v>4.314396214862351E-2</v>
          </cell>
          <cell r="AI171">
            <v>283.55508691576466</v>
          </cell>
          <cell r="AJ171">
            <v>7.0000000000000007E-2</v>
          </cell>
          <cell r="AK171">
            <v>479.90989581262085</v>
          </cell>
          <cell r="AL171">
            <v>6788.83</v>
          </cell>
          <cell r="AM171">
            <v>200.00000000000003</v>
          </cell>
          <cell r="AN171">
            <v>546.91999999999996</v>
          </cell>
        </row>
        <row r="172">
          <cell r="A172">
            <v>1189</v>
          </cell>
          <cell r="B172" t="str">
            <v>PORTEIRO</v>
          </cell>
          <cell r="C172">
            <v>40</v>
          </cell>
          <cell r="D172">
            <v>200</v>
          </cell>
          <cell r="E172" t="str">
            <v>1H NOTURNA</v>
          </cell>
          <cell r="F172" t="str">
            <v>PORTEIRO (SUBS. ABSENT.) (14H ÀS 23H) - 1H NOTURNA - 40H</v>
          </cell>
          <cell r="G172">
            <v>200</v>
          </cell>
          <cell r="H172" t="str">
            <v>(SUBS. ABSENT.) (14H ÀS 23H)</v>
          </cell>
          <cell r="L172">
            <v>8</v>
          </cell>
          <cell r="M172">
            <v>22</v>
          </cell>
          <cell r="N172">
            <v>24</v>
          </cell>
          <cell r="O172">
            <v>6</v>
          </cell>
          <cell r="P172">
            <v>1</v>
          </cell>
          <cell r="R172">
            <v>2142.7371104179406</v>
          </cell>
          <cell r="S172">
            <v>0</v>
          </cell>
          <cell r="T172">
            <v>108.23021622700281</v>
          </cell>
          <cell r="U172">
            <v>0</v>
          </cell>
          <cell r="V172">
            <v>8.8593703042912395</v>
          </cell>
          <cell r="W172">
            <v>0</v>
          </cell>
          <cell r="X172">
            <v>0</v>
          </cell>
          <cell r="Y172">
            <v>0</v>
          </cell>
          <cell r="Z172">
            <v>2259.8266969492347</v>
          </cell>
          <cell r="AA172">
            <v>0.81799999999999995</v>
          </cell>
          <cell r="AB172">
            <v>1848.538238104474</v>
          </cell>
          <cell r="AC172">
            <v>52.672499999999992</v>
          </cell>
          <cell r="AD172">
            <v>1.721363914713578</v>
          </cell>
          <cell r="AE172">
            <v>54.39386391471357</v>
          </cell>
          <cell r="AF172">
            <v>4.1140552520024452</v>
          </cell>
          <cell r="AG172">
            <v>121.58518892992969</v>
          </cell>
          <cell r="AH172">
            <v>4.314396214862351E-2</v>
          </cell>
          <cell r="AI172">
            <v>208.61762524217016</v>
          </cell>
          <cell r="AJ172">
            <v>7.0000000000000007E-2</v>
          </cell>
          <cell r="AK172">
            <v>353.08011534417682</v>
          </cell>
          <cell r="AL172">
            <v>4850.1499999999996</v>
          </cell>
          <cell r="AM172">
            <v>181.81818181818184</v>
          </cell>
          <cell r="AN172">
            <v>546.91999999999996</v>
          </cell>
        </row>
        <row r="173">
          <cell r="A173">
            <v>1191</v>
          </cell>
          <cell r="B173" t="str">
            <v>PORTEIRO</v>
          </cell>
          <cell r="C173">
            <v>44</v>
          </cell>
          <cell r="D173">
            <v>220</v>
          </cell>
          <cell r="E173" t="str">
            <v>DIARISTA NOTURNO</v>
          </cell>
          <cell r="F173" t="str">
            <v>PORTEIRO (SUBS. ABSENT.) (22H ÀS 6H) - DIARISTA NOTURNO - 44H</v>
          </cell>
          <cell r="G173">
            <v>220</v>
          </cell>
          <cell r="H173" t="str">
            <v>(SUBS. ABSENT.) (22H ÀS 6H)</v>
          </cell>
          <cell r="L173">
            <v>8</v>
          </cell>
          <cell r="M173">
            <v>22</v>
          </cell>
          <cell r="N173">
            <v>24</v>
          </cell>
          <cell r="O173">
            <v>6</v>
          </cell>
          <cell r="P173">
            <v>7</v>
          </cell>
          <cell r="Q173">
            <v>2</v>
          </cell>
          <cell r="R173">
            <v>2357.0108214597344</v>
          </cell>
          <cell r="S173">
            <v>0</v>
          </cell>
          <cell r="T173">
            <v>757.61151358901941</v>
          </cell>
          <cell r="U173">
            <v>16.537496195925836</v>
          </cell>
          <cell r="V173">
            <v>62.015592130038677</v>
          </cell>
          <cell r="W173">
            <v>0</v>
          </cell>
          <cell r="X173">
            <v>0</v>
          </cell>
          <cell r="Y173">
            <v>0</v>
          </cell>
          <cell r="Z173">
            <v>3193.1754233747188</v>
          </cell>
          <cell r="AA173">
            <v>0.81799999999999995</v>
          </cell>
          <cell r="AB173">
            <v>2612.01749632052</v>
          </cell>
          <cell r="AC173">
            <v>52.672499999999992</v>
          </cell>
          <cell r="AD173">
            <v>1.721363914713578</v>
          </cell>
          <cell r="AE173">
            <v>54.39386391471357</v>
          </cell>
          <cell r="AF173">
            <v>4.5254607772026896</v>
          </cell>
          <cell r="AG173">
            <v>114.60128756822279</v>
          </cell>
          <cell r="AH173">
            <v>4.314396214862351E-2</v>
          </cell>
          <cell r="AI173">
            <v>281.54194407267721</v>
          </cell>
          <cell r="AJ173">
            <v>7.0000000000000007E-2</v>
          </cell>
          <cell r="AK173">
            <v>476.50270187866397</v>
          </cell>
          <cell r="AL173">
            <v>6736.75</v>
          </cell>
          <cell r="AM173">
            <v>200.00000000000003</v>
          </cell>
          <cell r="AN173">
            <v>546.91999999999996</v>
          </cell>
        </row>
        <row r="174">
          <cell r="A174">
            <v>1190</v>
          </cell>
          <cell r="B174" t="str">
            <v>PORTEIRO</v>
          </cell>
          <cell r="C174">
            <v>36</v>
          </cell>
          <cell r="D174">
            <v>180</v>
          </cell>
          <cell r="E174" t="str">
            <v>DIARISTA NOTURNO</v>
          </cell>
          <cell r="F174" t="str">
            <v>PORTEIRO (SUBS. ABSENT.) (18H ÀS 0H) - DIARISTA NOTURNO - 36H</v>
          </cell>
          <cell r="G174">
            <v>180</v>
          </cell>
          <cell r="H174" t="str">
            <v>(SUBS. ABSENT.) (18H ÀS 0H)</v>
          </cell>
          <cell r="L174">
            <v>6</v>
          </cell>
          <cell r="M174">
            <v>26</v>
          </cell>
          <cell r="N174">
            <v>24</v>
          </cell>
          <cell r="O174">
            <v>6</v>
          </cell>
          <cell r="P174">
            <v>2</v>
          </cell>
          <cell r="R174">
            <v>1928.4633993761463</v>
          </cell>
          <cell r="S174">
            <v>0</v>
          </cell>
          <cell r="T174">
            <v>255.81687471837017</v>
          </cell>
          <cell r="U174">
            <v>0</v>
          </cell>
          <cell r="V174">
            <v>20.940329810142927</v>
          </cell>
          <cell r="W174">
            <v>0</v>
          </cell>
          <cell r="X174">
            <v>0</v>
          </cell>
          <cell r="Y174">
            <v>0</v>
          </cell>
          <cell r="Z174">
            <v>2205.2206039046591</v>
          </cell>
          <cell r="AA174">
            <v>0.81799999999999995</v>
          </cell>
          <cell r="AB174">
            <v>1803.8704539940111</v>
          </cell>
          <cell r="AC174">
            <v>52.672499999999992</v>
          </cell>
          <cell r="AD174">
            <v>1.721363914713578</v>
          </cell>
          <cell r="AE174">
            <v>54.39386391471357</v>
          </cell>
          <cell r="AF174">
            <v>3.7026497268022007</v>
          </cell>
          <cell r="AG174">
            <v>128.56909029163657</v>
          </cell>
          <cell r="AH174">
            <v>4.314396214862351E-2</v>
          </cell>
          <cell r="AI174">
            <v>204.61812035543832</v>
          </cell>
          <cell r="AJ174">
            <v>7.0000000000000007E-2</v>
          </cell>
          <cell r="AK174">
            <v>346.31105330980836</v>
          </cell>
          <cell r="AL174">
            <v>4746.68</v>
          </cell>
          <cell r="AM174">
            <v>163.63636363636365</v>
          </cell>
          <cell r="AN174">
            <v>646.36</v>
          </cell>
        </row>
        <row r="175">
          <cell r="A175">
            <v>402</v>
          </cell>
          <cell r="B175" t="str">
            <v>PORTEIRO</v>
          </cell>
          <cell r="C175">
            <v>44</v>
          </cell>
          <cell r="D175">
            <v>210</v>
          </cell>
          <cell r="E175" t="str">
            <v>12x36 DIURNO</v>
          </cell>
          <cell r="F175" t="str">
            <v>PORTEIRO - (PERIC.) - 12x36 DIURNO - 44H</v>
          </cell>
          <cell r="G175">
            <v>210</v>
          </cell>
          <cell r="I175" t="str">
            <v>X</v>
          </cell>
          <cell r="J175" t="str">
            <v>X</v>
          </cell>
          <cell r="L175">
            <v>12</v>
          </cell>
          <cell r="M175">
            <v>15.22</v>
          </cell>
          <cell r="N175">
            <v>24</v>
          </cell>
          <cell r="O175">
            <v>6</v>
          </cell>
          <cell r="R175">
            <v>2357.0108214597344</v>
          </cell>
          <cell r="S175">
            <v>707.10324643792035</v>
          </cell>
          <cell r="T175">
            <v>0</v>
          </cell>
          <cell r="U175">
            <v>0</v>
          </cell>
          <cell r="V175">
            <v>0</v>
          </cell>
          <cell r="W175">
            <v>328.29793584617732</v>
          </cell>
          <cell r="X175">
            <v>0</v>
          </cell>
          <cell r="Y175">
            <v>4.2557139831911872</v>
          </cell>
          <cell r="Z175">
            <v>3396.6677177270235</v>
          </cell>
          <cell r="AA175">
            <v>0.81799999999999995</v>
          </cell>
          <cell r="AB175">
            <v>2778.4741931007052</v>
          </cell>
          <cell r="AC175">
            <v>52.672499999999992</v>
          </cell>
          <cell r="AD175">
            <v>1.721363914713578</v>
          </cell>
          <cell r="AE175">
            <v>54.39386391471357</v>
          </cell>
          <cell r="AF175">
            <v>4.5254607772026896</v>
          </cell>
          <cell r="AG175">
            <v>114.60128756822279</v>
          </cell>
          <cell r="AH175">
            <v>3.403517673411495E-2</v>
          </cell>
          <cell r="AI175">
            <v>234.69257336727355</v>
          </cell>
          <cell r="AJ175">
            <v>7.0000000000000007E-2</v>
          </cell>
          <cell r="AK175">
            <v>499.11967530855998</v>
          </cell>
          <cell r="AL175">
            <v>7082.47</v>
          </cell>
          <cell r="AM175">
            <v>200.00000000000003</v>
          </cell>
          <cell r="AN175">
            <v>546.91999999999996</v>
          </cell>
        </row>
        <row r="176">
          <cell r="A176">
            <v>168</v>
          </cell>
          <cell r="B176" t="str">
            <v>PORTEIRO</v>
          </cell>
          <cell r="C176">
            <v>44</v>
          </cell>
          <cell r="D176">
            <v>210</v>
          </cell>
          <cell r="E176" t="str">
            <v>12x36 DIURNO</v>
          </cell>
          <cell r="F176" t="str">
            <v>PORTEIRO - 12x36 DIURNO - 44H</v>
          </cell>
          <cell r="G176">
            <v>210</v>
          </cell>
          <cell r="J176" t="str">
            <v>X</v>
          </cell>
          <cell r="L176">
            <v>12</v>
          </cell>
          <cell r="M176">
            <v>15.22</v>
          </cell>
          <cell r="N176">
            <v>24</v>
          </cell>
          <cell r="O176">
            <v>6</v>
          </cell>
          <cell r="R176">
            <v>2357.0108214597344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252.53687372782872</v>
          </cell>
          <cell r="X176">
            <v>0</v>
          </cell>
          <cell r="Y176">
            <v>3.2736261409162979</v>
          </cell>
          <cell r="Z176">
            <v>2612.8213213284794</v>
          </cell>
          <cell r="AA176">
            <v>0.81799999999999995</v>
          </cell>
          <cell r="AB176">
            <v>2137.2878408466959</v>
          </cell>
          <cell r="AC176">
            <v>52.672499999999992</v>
          </cell>
          <cell r="AD176">
            <v>1.721363914713578</v>
          </cell>
          <cell r="AE176">
            <v>54.39386391471357</v>
          </cell>
          <cell r="AF176">
            <v>4.5254607772026896</v>
          </cell>
          <cell r="AG176">
            <v>114.60128756822279</v>
          </cell>
          <cell r="AH176">
            <v>3.403517673411495E-2</v>
          </cell>
          <cell r="AI176">
            <v>186.1913319149823</v>
          </cell>
          <cell r="AJ176">
            <v>7.0000000000000007E-2</v>
          </cell>
          <cell r="AK176">
            <v>395.97229600122085</v>
          </cell>
          <cell r="AL176">
            <v>5505.79</v>
          </cell>
          <cell r="AM176">
            <v>200.00000000000003</v>
          </cell>
          <cell r="AN176">
            <v>546.91999999999996</v>
          </cell>
        </row>
        <row r="177">
          <cell r="A177">
            <v>403</v>
          </cell>
          <cell r="B177" t="str">
            <v>PORTEIRO</v>
          </cell>
          <cell r="C177">
            <v>44</v>
          </cell>
          <cell r="D177">
            <v>210</v>
          </cell>
          <cell r="E177" t="str">
            <v>12x36 NOTURNO</v>
          </cell>
          <cell r="F177" t="str">
            <v>PORTEIRO - (PERIC.) - 12x36 NOTURNO - 44H</v>
          </cell>
          <cell r="G177">
            <v>210</v>
          </cell>
          <cell r="I177" t="str">
            <v>X</v>
          </cell>
          <cell r="J177" t="str">
            <v>X</v>
          </cell>
          <cell r="L177">
            <v>12</v>
          </cell>
          <cell r="M177">
            <v>15.22</v>
          </cell>
          <cell r="N177">
            <v>24</v>
          </cell>
          <cell r="O177">
            <v>6</v>
          </cell>
          <cell r="P177">
            <v>7</v>
          </cell>
          <cell r="Q177">
            <v>2</v>
          </cell>
          <cell r="R177">
            <v>2357.0108214597344</v>
          </cell>
          <cell r="S177">
            <v>707.10324643792035</v>
          </cell>
          <cell r="T177">
            <v>713.81435275582578</v>
          </cell>
          <cell r="U177">
            <v>15.581471415837555</v>
          </cell>
          <cell r="V177">
            <v>58.430500280235492</v>
          </cell>
          <cell r="W177">
            <v>328.29793584617732</v>
          </cell>
          <cell r="X177">
            <v>0</v>
          </cell>
          <cell r="Y177">
            <v>4.2557139831911872</v>
          </cell>
          <cell r="Z177">
            <v>4184.4940421789224</v>
          </cell>
          <cell r="AA177">
            <v>0.81799999999999995</v>
          </cell>
          <cell r="AB177">
            <v>3422.9161265023581</v>
          </cell>
          <cell r="AC177">
            <v>52.672499999999992</v>
          </cell>
          <cell r="AD177">
            <v>1.721363914713578</v>
          </cell>
          <cell r="AE177">
            <v>54.39386391471357</v>
          </cell>
          <cell r="AF177">
            <v>4.5254607772026896</v>
          </cell>
          <cell r="AG177">
            <v>114.60128756822279</v>
          </cell>
          <cell r="AH177">
            <v>3.403517673411495E-2</v>
          </cell>
          <cell r="AI177">
            <v>283.44007665398215</v>
          </cell>
          <cell r="AJ177">
            <v>7.0000000000000007E-2</v>
          </cell>
          <cell r="AK177">
            <v>602.7907785883782</v>
          </cell>
          <cell r="AL177">
            <v>8667.16</v>
          </cell>
          <cell r="AM177">
            <v>200.00000000000003</v>
          </cell>
          <cell r="AN177">
            <v>546.91999999999996</v>
          </cell>
        </row>
        <row r="178">
          <cell r="A178">
            <v>169</v>
          </cell>
          <cell r="B178" t="str">
            <v>PORTEIRO</v>
          </cell>
          <cell r="C178">
            <v>44</v>
          </cell>
          <cell r="D178">
            <v>210</v>
          </cell>
          <cell r="E178" t="str">
            <v>12x36 NOTURNO</v>
          </cell>
          <cell r="F178" t="str">
            <v>PORTEIRO - 12x36 NOTURNO - 44H</v>
          </cell>
          <cell r="G178">
            <v>210</v>
          </cell>
          <cell r="J178" t="str">
            <v>X</v>
          </cell>
          <cell r="L178">
            <v>12</v>
          </cell>
          <cell r="M178">
            <v>15.22</v>
          </cell>
          <cell r="N178">
            <v>24</v>
          </cell>
          <cell r="O178">
            <v>6</v>
          </cell>
          <cell r="P178">
            <v>7</v>
          </cell>
          <cell r="Q178">
            <v>2</v>
          </cell>
          <cell r="R178">
            <v>2357.0108214597344</v>
          </cell>
          <cell r="S178">
            <v>0</v>
          </cell>
          <cell r="T178">
            <v>549.08796365832757</v>
          </cell>
          <cell r="U178">
            <v>11.985747242951966</v>
          </cell>
          <cell r="V178">
            <v>44.946538677104229</v>
          </cell>
          <cell r="W178">
            <v>252.53687372782872</v>
          </cell>
          <cell r="X178">
            <v>0</v>
          </cell>
          <cell r="Y178">
            <v>3.2736261409162979</v>
          </cell>
          <cell r="Z178">
            <v>3218.8415709068636</v>
          </cell>
          <cell r="AA178">
            <v>0.81799999999999995</v>
          </cell>
          <cell r="AB178">
            <v>2633.0124050018144</v>
          </cell>
          <cell r="AC178">
            <v>52.672499999999992</v>
          </cell>
          <cell r="AD178">
            <v>1.721363914713578</v>
          </cell>
          <cell r="AE178">
            <v>54.39386391471357</v>
          </cell>
          <cell r="AF178">
            <v>4.5254607772026896</v>
          </cell>
          <cell r="AG178">
            <v>114.60128756822279</v>
          </cell>
          <cell r="AH178">
            <v>3.403517673411495E-2</v>
          </cell>
          <cell r="AI178">
            <v>223.68941136629661</v>
          </cell>
          <cell r="AJ178">
            <v>7.0000000000000007E-2</v>
          </cell>
          <cell r="AK178">
            <v>475.71929852415803</v>
          </cell>
          <cell r="AL178">
            <v>6724.78</v>
          </cell>
          <cell r="AM178">
            <v>200.00000000000003</v>
          </cell>
          <cell r="AN178">
            <v>546.91999999999996</v>
          </cell>
        </row>
        <row r="179">
          <cell r="A179">
            <v>167</v>
          </cell>
          <cell r="B179" t="str">
            <v>PORTEIRO</v>
          </cell>
          <cell r="C179">
            <v>30</v>
          </cell>
          <cell r="D179">
            <v>150</v>
          </cell>
          <cell r="E179" t="str">
            <v>DIARISTA DIURNO</v>
          </cell>
          <cell r="F179" t="str">
            <v>PORTEIRO - DIARISTA DIURNO - 30H</v>
          </cell>
          <cell r="G179">
            <v>150</v>
          </cell>
          <cell r="L179">
            <v>6</v>
          </cell>
          <cell r="M179">
            <v>22</v>
          </cell>
          <cell r="N179">
            <v>24</v>
          </cell>
          <cell r="O179">
            <v>6</v>
          </cell>
          <cell r="R179">
            <v>1607.0528328134553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1607.0528328134553</v>
          </cell>
          <cell r="AA179">
            <v>0.81799999999999995</v>
          </cell>
          <cell r="AB179">
            <v>1314.5692172414065</v>
          </cell>
          <cell r="AC179">
            <v>52.672499999999992</v>
          </cell>
          <cell r="AD179">
            <v>1.721363914713578</v>
          </cell>
          <cell r="AE179">
            <v>54.39386391471357</v>
          </cell>
          <cell r="AF179">
            <v>3.0855414390018341</v>
          </cell>
          <cell r="AG179">
            <v>139.04494233419689</v>
          </cell>
          <cell r="AH179">
            <v>3.403517673411495E-2</v>
          </cell>
          <cell r="AI179">
            <v>124.74138609874504</v>
          </cell>
          <cell r="AJ179">
            <v>7.0000000000000007E-2</v>
          </cell>
          <cell r="AK179">
            <v>265.28696342560636</v>
          </cell>
          <cell r="AL179">
            <v>3508.17</v>
          </cell>
          <cell r="AM179">
            <v>136.36363636363637</v>
          </cell>
          <cell r="AN179">
            <v>546.91999999999996</v>
          </cell>
        </row>
        <row r="180">
          <cell r="A180">
            <v>177</v>
          </cell>
          <cell r="B180" t="str">
            <v>PORTEIRO</v>
          </cell>
          <cell r="C180">
            <v>36</v>
          </cell>
          <cell r="D180">
            <v>180</v>
          </cell>
          <cell r="E180" t="str">
            <v>ESCALA NOTURNA</v>
          </cell>
          <cell r="F180" t="str">
            <v>PORTEIRO (18H ÀS 0H) - ESCALA NOTURNA - 36H</v>
          </cell>
          <cell r="G180">
            <v>180</v>
          </cell>
          <cell r="H180" t="str">
            <v>(18H ÀS 0H)</v>
          </cell>
          <cell r="K180" t="str">
            <v>x</v>
          </cell>
          <cell r="L180">
            <v>6</v>
          </cell>
          <cell r="M180">
            <v>26</v>
          </cell>
          <cell r="N180">
            <v>24</v>
          </cell>
          <cell r="O180">
            <v>6</v>
          </cell>
          <cell r="P180">
            <v>2</v>
          </cell>
          <cell r="R180">
            <v>1928.4633993761463</v>
          </cell>
          <cell r="S180">
            <v>0</v>
          </cell>
          <cell r="T180">
            <v>255.81687471837017</v>
          </cell>
          <cell r="U180">
            <v>0</v>
          </cell>
          <cell r="V180">
            <v>20.940329810142927</v>
          </cell>
          <cell r="W180">
            <v>0</v>
          </cell>
          <cell r="X180">
            <v>87.048695110728829</v>
          </cell>
          <cell r="Y180">
            <v>0</v>
          </cell>
          <cell r="Z180">
            <v>2292.2692990153878</v>
          </cell>
          <cell r="AA180">
            <v>0.81799999999999995</v>
          </cell>
          <cell r="AB180">
            <v>1875.0762865945871</v>
          </cell>
          <cell r="AC180">
            <v>52.672499999999992</v>
          </cell>
          <cell r="AD180">
            <v>1.721363914713578</v>
          </cell>
          <cell r="AE180">
            <v>54.39386391471357</v>
          </cell>
          <cell r="AF180">
            <v>3.7026497268022007</v>
          </cell>
          <cell r="AG180">
            <v>128.56909029163657</v>
          </cell>
          <cell r="AH180">
            <v>3.403517673411495E-2</v>
          </cell>
          <cell r="AI180">
            <v>166.80426270714028</v>
          </cell>
          <cell r="AJ180">
            <v>7.0000000000000007E-2</v>
          </cell>
          <cell r="AK180">
            <v>354.74190021421884</v>
          </cell>
          <cell r="AL180">
            <v>4875.55</v>
          </cell>
          <cell r="AM180">
            <v>163.63636363636365</v>
          </cell>
          <cell r="AN180">
            <v>646.36</v>
          </cell>
        </row>
        <row r="181">
          <cell r="A181">
            <v>165</v>
          </cell>
          <cell r="B181" t="str">
            <v>PORTEIRO</v>
          </cell>
          <cell r="C181">
            <v>40</v>
          </cell>
          <cell r="D181">
            <v>200</v>
          </cell>
          <cell r="E181" t="str">
            <v>DIARISTA DIURNO</v>
          </cell>
          <cell r="F181" t="str">
            <v>PORTEIRO - DIARISTA DIURNO - 40H</v>
          </cell>
          <cell r="G181">
            <v>200</v>
          </cell>
          <cell r="L181">
            <v>8</v>
          </cell>
          <cell r="M181">
            <v>22</v>
          </cell>
          <cell r="N181">
            <v>24</v>
          </cell>
          <cell r="O181">
            <v>6</v>
          </cell>
          <cell r="R181">
            <v>2142.7371104179406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2142.7371104179406</v>
          </cell>
          <cell r="AA181">
            <v>0.81799999999999995</v>
          </cell>
          <cell r="AB181">
            <v>1752.7589563218753</v>
          </cell>
          <cell r="AC181">
            <v>52.672499999999992</v>
          </cell>
          <cell r="AD181">
            <v>1.721363914713578</v>
          </cell>
          <cell r="AE181">
            <v>54.39386391471357</v>
          </cell>
          <cell r="AF181">
            <v>4.1140552520024452</v>
          </cell>
          <cell r="AG181">
            <v>121.58518892992969</v>
          </cell>
          <cell r="AH181">
            <v>3.403517673411495E-2</v>
          </cell>
          <cell r="AI181">
            <v>157.32812022993051</v>
          </cell>
          <cell r="AJ181">
            <v>7.0000000000000007E-2</v>
          </cell>
          <cell r="AK181">
            <v>334.58902921134751</v>
          </cell>
          <cell r="AL181">
            <v>4567.5</v>
          </cell>
          <cell r="AM181">
            <v>181.81818181818184</v>
          </cell>
          <cell r="AN181">
            <v>546.91999999999996</v>
          </cell>
        </row>
        <row r="182">
          <cell r="A182">
            <v>1306</v>
          </cell>
          <cell r="B182" t="str">
            <v>PORTEIRO</v>
          </cell>
          <cell r="C182">
            <v>44</v>
          </cell>
          <cell r="D182">
            <v>220</v>
          </cell>
          <cell r="E182" t="str">
            <v>DIARISTA DIURNO</v>
          </cell>
          <cell r="F182" t="str">
            <v>PORTEIRO - (PERIC.) - DIARISTA DIURNO - 44H</v>
          </cell>
          <cell r="G182">
            <v>220</v>
          </cell>
          <cell r="I182" t="str">
            <v>X</v>
          </cell>
          <cell r="L182">
            <v>8</v>
          </cell>
          <cell r="M182">
            <v>22</v>
          </cell>
          <cell r="N182">
            <v>24</v>
          </cell>
          <cell r="O182">
            <v>6</v>
          </cell>
          <cell r="R182">
            <v>2357.0108214597344</v>
          </cell>
          <cell r="S182">
            <v>707.10324643792035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3064.1140678976549</v>
          </cell>
          <cell r="AA182">
            <v>0.81799999999999995</v>
          </cell>
          <cell r="AB182">
            <v>2506.4453075402816</v>
          </cell>
          <cell r="AC182">
            <v>52.672499999999992</v>
          </cell>
          <cell r="AD182">
            <v>1.721363914713578</v>
          </cell>
          <cell r="AE182">
            <v>54.39386391471357</v>
          </cell>
          <cell r="AF182">
            <v>4.5254607772026896</v>
          </cell>
          <cell r="AG182">
            <v>114.60128756822279</v>
          </cell>
          <cell r="AH182">
            <v>3.403517673411495E-2</v>
          </cell>
          <cell r="AI182">
            <v>214.11549992492269</v>
          </cell>
          <cell r="AJ182">
            <v>7.0000000000000007E-2</v>
          </cell>
          <cell r="AK182">
            <v>455.35850269031005</v>
          </cell>
          <cell r="AL182">
            <v>6413.55</v>
          </cell>
          <cell r="AM182">
            <v>200.00000000000003</v>
          </cell>
          <cell r="AN182">
            <v>546.91999999999996</v>
          </cell>
        </row>
        <row r="183">
          <cell r="A183">
            <v>164</v>
          </cell>
          <cell r="B183" t="str">
            <v>PORTEIRO</v>
          </cell>
          <cell r="C183">
            <v>44</v>
          </cell>
          <cell r="D183">
            <v>220</v>
          </cell>
          <cell r="E183" t="str">
            <v>DIARISTA DIURNO</v>
          </cell>
          <cell r="F183" t="str">
            <v>PORTEIRO - DIARISTA DIURNO - 44H</v>
          </cell>
          <cell r="G183">
            <v>220</v>
          </cell>
          <cell r="L183">
            <v>8</v>
          </cell>
          <cell r="M183">
            <v>22</v>
          </cell>
          <cell r="N183">
            <v>24</v>
          </cell>
          <cell r="O183">
            <v>6</v>
          </cell>
          <cell r="R183">
            <v>2357.0108214597344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2357.0108214597344</v>
          </cell>
          <cell r="AA183">
            <v>0.81799999999999995</v>
          </cell>
          <cell r="AB183">
            <v>1928.0348519540626</v>
          </cell>
          <cell r="AC183">
            <v>52.672499999999992</v>
          </cell>
          <cell r="AD183">
            <v>1.721363914713578</v>
          </cell>
          <cell r="AE183">
            <v>54.39386391471357</v>
          </cell>
          <cell r="AF183">
            <v>4.5254607772026896</v>
          </cell>
          <cell r="AG183">
            <v>114.60128756822279</v>
          </cell>
          <cell r="AH183">
            <v>3.403517673411495E-2</v>
          </cell>
          <cell r="AI183">
            <v>170.36281388240471</v>
          </cell>
          <cell r="AJ183">
            <v>7.0000000000000007E-2</v>
          </cell>
          <cell r="AK183">
            <v>362.30985552564397</v>
          </cell>
          <cell r="AL183">
            <v>4991.2299999999996</v>
          </cell>
          <cell r="AM183">
            <v>200.00000000000003</v>
          </cell>
          <cell r="AN183">
            <v>546.91999999999996</v>
          </cell>
        </row>
        <row r="184">
          <cell r="A184">
            <v>176</v>
          </cell>
          <cell r="B184" t="str">
            <v>PORTEIRO</v>
          </cell>
          <cell r="C184">
            <v>44</v>
          </cell>
          <cell r="D184">
            <v>220</v>
          </cell>
          <cell r="E184" t="str">
            <v>DIARISTA NOTURNO</v>
          </cell>
          <cell r="F184" t="str">
            <v>PORTEIRO (22H ÀS 6H) - DIARISTA NOTURNO - 44H</v>
          </cell>
          <cell r="G184">
            <v>220</v>
          </cell>
          <cell r="H184" t="str">
            <v>(22H ÀS 6H)</v>
          </cell>
          <cell r="L184">
            <v>8</v>
          </cell>
          <cell r="M184">
            <v>22</v>
          </cell>
          <cell r="N184">
            <v>24</v>
          </cell>
          <cell r="O184">
            <v>6</v>
          </cell>
          <cell r="P184">
            <v>7</v>
          </cell>
          <cell r="Q184">
            <v>1</v>
          </cell>
          <cell r="R184">
            <v>2357.0108214597344</v>
          </cell>
          <cell r="S184">
            <v>0</v>
          </cell>
          <cell r="T184">
            <v>757.61151358901941</v>
          </cell>
          <cell r="U184">
            <v>8.2687480979629182</v>
          </cell>
          <cell r="V184">
            <v>62.015592130038677</v>
          </cell>
          <cell r="W184">
            <v>0</v>
          </cell>
          <cell r="X184">
            <v>0</v>
          </cell>
          <cell r="Y184">
            <v>0</v>
          </cell>
          <cell r="Z184">
            <v>3184.9066752767558</v>
          </cell>
          <cell r="AA184">
            <v>0.81799999999999995</v>
          </cell>
          <cell r="AB184">
            <v>2605.2536603763861</v>
          </cell>
          <cell r="AC184">
            <v>52.672499999999992</v>
          </cell>
          <cell r="AD184">
            <v>1.721363914713578</v>
          </cell>
          <cell r="AE184">
            <v>54.39386391471357</v>
          </cell>
          <cell r="AF184">
            <v>4.5254607772026896</v>
          </cell>
          <cell r="AG184">
            <v>114.60128756822279</v>
          </cell>
          <cell r="AH184">
            <v>3.403517673411495E-2</v>
          </cell>
          <cell r="AI184">
            <v>221.58965741682852</v>
          </cell>
          <cell r="AJ184">
            <v>7.0000000000000007E-2</v>
          </cell>
          <cell r="AK184">
            <v>471.2537609298077</v>
          </cell>
          <cell r="AL184">
            <v>6656.52</v>
          </cell>
          <cell r="AM184">
            <v>200.00000000000003</v>
          </cell>
          <cell r="AN184">
            <v>546.91999999999996</v>
          </cell>
        </row>
        <row r="185">
          <cell r="A185">
            <v>214</v>
          </cell>
          <cell r="B185" t="str">
            <v>RECEPCIONISTA</v>
          </cell>
          <cell r="C185">
            <v>44</v>
          </cell>
          <cell r="D185">
            <v>210</v>
          </cell>
          <cell r="E185" t="str">
            <v>12x36 DIURNO</v>
          </cell>
          <cell r="F185" t="str">
            <v>RECEPCIONISTA - 12x36 DIURNO - 44H</v>
          </cell>
          <cell r="G185">
            <v>210</v>
          </cell>
          <cell r="L185">
            <v>12</v>
          </cell>
          <cell r="M185">
            <v>15.22</v>
          </cell>
          <cell r="N185">
            <v>24</v>
          </cell>
          <cell r="O185">
            <v>6</v>
          </cell>
          <cell r="R185">
            <v>3237.025661686117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4.4958689745640514</v>
          </cell>
          <cell r="Z185">
            <v>3241.521530660681</v>
          </cell>
          <cell r="AA185">
            <v>0.81799999999999995</v>
          </cell>
          <cell r="AB185">
            <v>2651.5646120804367</v>
          </cell>
          <cell r="AC185">
            <v>62.000833333333333</v>
          </cell>
          <cell r="AD185">
            <v>0</v>
          </cell>
          <cell r="AE185">
            <v>62.000833333333333</v>
          </cell>
          <cell r="AF185">
            <v>6.2150892704373444</v>
          </cell>
          <cell r="AG185">
            <v>113.64067261146543</v>
          </cell>
          <cell r="AH185">
            <v>3.2562971679721289E-2</v>
          </cell>
          <cell r="AI185">
            <v>215.72764749654178</v>
          </cell>
          <cell r="AJ185">
            <v>7.0000000000000007E-2</v>
          </cell>
          <cell r="AK185">
            <v>478.84655023011038</v>
          </cell>
          <cell r="AL185">
            <v>6769.51</v>
          </cell>
          <cell r="AM185">
            <v>200.00000000000003</v>
          </cell>
          <cell r="AN185">
            <v>549.99</v>
          </cell>
        </row>
        <row r="186">
          <cell r="A186">
            <v>215</v>
          </cell>
          <cell r="B186" t="str">
            <v>RECEPCIONISTA</v>
          </cell>
          <cell r="C186">
            <v>44</v>
          </cell>
          <cell r="D186">
            <v>210</v>
          </cell>
          <cell r="E186" t="str">
            <v>12x36 NOTURNO</v>
          </cell>
          <cell r="F186" t="str">
            <v>RECEPCIONISTA - 12x36 NOTURNO - 44H</v>
          </cell>
          <cell r="G186">
            <v>210</v>
          </cell>
          <cell r="L186">
            <v>12</v>
          </cell>
          <cell r="M186">
            <v>15.22</v>
          </cell>
          <cell r="N186">
            <v>24</v>
          </cell>
          <cell r="O186">
            <v>6</v>
          </cell>
          <cell r="P186">
            <v>7</v>
          </cell>
          <cell r="Q186">
            <v>2</v>
          </cell>
          <cell r="R186">
            <v>3237.025661686117</v>
          </cell>
          <cell r="S186">
            <v>0</v>
          </cell>
          <cell r="T186">
            <v>754.09574394070887</v>
          </cell>
          <cell r="U186">
            <v>16.460752342193665</v>
          </cell>
          <cell r="V186">
            <v>61.727802764879847</v>
          </cell>
          <cell r="W186">
            <v>0</v>
          </cell>
          <cell r="X186">
            <v>0</v>
          </cell>
          <cell r="Y186">
            <v>4.4958689745640514</v>
          </cell>
          <cell r="Z186">
            <v>4073.8058297084635</v>
          </cell>
          <cell r="AA186">
            <v>0.81799999999999995</v>
          </cell>
          <cell r="AB186">
            <v>3332.3731687015229</v>
          </cell>
          <cell r="AC186">
            <v>62.000833333333333</v>
          </cell>
          <cell r="AD186">
            <v>0</v>
          </cell>
          <cell r="AE186">
            <v>62.000833333333333</v>
          </cell>
          <cell r="AF186">
            <v>6.2150892704373444</v>
          </cell>
          <cell r="AG186">
            <v>113.64067261146543</v>
          </cell>
          <cell r="AH186">
            <v>3.2562971679721289E-2</v>
          </cell>
          <cell r="AI186">
            <v>264.99844730447575</v>
          </cell>
          <cell r="AJ186">
            <v>7.0000000000000007E-2</v>
          </cell>
          <cell r="AK186">
            <v>588.21200611348661</v>
          </cell>
          <cell r="AL186">
            <v>8441.24</v>
          </cell>
          <cell r="AM186">
            <v>200.00000000000003</v>
          </cell>
          <cell r="AN186">
            <v>549.99</v>
          </cell>
        </row>
        <row r="187">
          <cell r="A187">
            <v>211</v>
          </cell>
          <cell r="B187" t="str">
            <v>RECEPCIONISTA</v>
          </cell>
          <cell r="C187">
            <v>30</v>
          </cell>
          <cell r="D187">
            <v>150</v>
          </cell>
          <cell r="E187" t="str">
            <v>DIARISTA DIURNO</v>
          </cell>
          <cell r="F187" t="str">
            <v>RECEPCIONISTA - DIARISTA DIURNO - 30H</v>
          </cell>
          <cell r="G187">
            <v>150</v>
          </cell>
          <cell r="L187">
            <v>6</v>
          </cell>
          <cell r="M187">
            <v>22</v>
          </cell>
          <cell r="N187">
            <v>24</v>
          </cell>
          <cell r="O187">
            <v>6</v>
          </cell>
          <cell r="R187">
            <v>2207.0629511496254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2207.0629511496254</v>
          </cell>
          <cell r="AA187">
            <v>0.81799999999999995</v>
          </cell>
          <cell r="AB187">
            <v>1805.3774940403935</v>
          </cell>
          <cell r="AC187">
            <v>62.000833333333333</v>
          </cell>
          <cell r="AD187">
            <v>0</v>
          </cell>
          <cell r="AE187">
            <v>62.000833333333333</v>
          </cell>
          <cell r="AF187">
            <v>4.2375608662072803</v>
          </cell>
          <cell r="AG187">
            <v>148.80066537348034</v>
          </cell>
          <cell r="AH187">
            <v>3.2562971679721289E-2</v>
          </cell>
          <cell r="AI187">
            <v>155.56875455474153</v>
          </cell>
          <cell r="AJ187">
            <v>7.0000000000000007E-2</v>
          </cell>
          <cell r="AK187">
            <v>345.31300140065224</v>
          </cell>
          <cell r="AL187">
            <v>4728.3599999999997</v>
          </cell>
          <cell r="AM187">
            <v>136.36363636363637</v>
          </cell>
          <cell r="AN187">
            <v>549.99</v>
          </cell>
        </row>
        <row r="188">
          <cell r="A188">
            <v>210</v>
          </cell>
          <cell r="B188" t="str">
            <v>RECEPCIONISTA</v>
          </cell>
          <cell r="C188">
            <v>36</v>
          </cell>
          <cell r="D188">
            <v>180</v>
          </cell>
          <cell r="E188" t="str">
            <v>DIARISTA DIURNO</v>
          </cell>
          <cell r="F188" t="str">
            <v>RECEPCIONISTA - DIARISTA DIURNO - 36H</v>
          </cell>
          <cell r="G188">
            <v>180</v>
          </cell>
          <cell r="L188">
            <v>6</v>
          </cell>
          <cell r="M188">
            <v>26</v>
          </cell>
          <cell r="N188">
            <v>24</v>
          </cell>
          <cell r="O188">
            <v>6</v>
          </cell>
          <cell r="R188">
            <v>2648.4755413795501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2648.4755413795501</v>
          </cell>
          <cell r="AA188">
            <v>0.81799999999999995</v>
          </cell>
          <cell r="AB188">
            <v>2166.4529928484717</v>
          </cell>
          <cell r="AC188">
            <v>62.000833333333333</v>
          </cell>
          <cell r="AD188">
            <v>0</v>
          </cell>
          <cell r="AE188">
            <v>62.000833333333333</v>
          </cell>
          <cell r="AF188">
            <v>5.0850730394487362</v>
          </cell>
          <cell r="AG188">
            <v>133.73209704690254</v>
          </cell>
          <cell r="AH188">
            <v>3.2562971679721289E-2</v>
          </cell>
          <cell r="AI188">
            <v>181.23707162262286</v>
          </cell>
          <cell r="AJ188">
            <v>7.0000000000000007E-2</v>
          </cell>
          <cell r="AK188">
            <v>402.28847589733067</v>
          </cell>
          <cell r="AL188">
            <v>5599.27</v>
          </cell>
          <cell r="AM188">
            <v>163.63636363636365</v>
          </cell>
          <cell r="AN188">
            <v>649.99</v>
          </cell>
        </row>
        <row r="189">
          <cell r="A189">
            <v>209</v>
          </cell>
          <cell r="B189" t="str">
            <v>RECEPCIONISTA</v>
          </cell>
          <cell r="C189">
            <v>40</v>
          </cell>
          <cell r="D189">
            <v>200</v>
          </cell>
          <cell r="E189" t="str">
            <v>DIARISTA DIURNO</v>
          </cell>
          <cell r="F189" t="str">
            <v>RECEPCIONISTA - DIARISTA DIURNO - 40H</v>
          </cell>
          <cell r="G189">
            <v>200</v>
          </cell>
          <cell r="L189">
            <v>8</v>
          </cell>
          <cell r="M189">
            <v>22</v>
          </cell>
          <cell r="N189">
            <v>24</v>
          </cell>
          <cell r="O189">
            <v>6</v>
          </cell>
          <cell r="R189">
            <v>2942.7506015328336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2942.7506015328336</v>
          </cell>
          <cell r="AA189">
            <v>0.81799999999999995</v>
          </cell>
          <cell r="AB189">
            <v>2407.1699920538576</v>
          </cell>
          <cell r="AC189">
            <v>62.000833333333333</v>
          </cell>
          <cell r="AD189">
            <v>0</v>
          </cell>
          <cell r="AE189">
            <v>62.000833333333333</v>
          </cell>
          <cell r="AF189">
            <v>5.6500811549430399</v>
          </cell>
          <cell r="AG189">
            <v>123.68638482918398</v>
          </cell>
          <cell r="AH189">
            <v>3.2562971679721289E-2</v>
          </cell>
          <cell r="AI189">
            <v>198.34928300121047</v>
          </cell>
          <cell r="AJ189">
            <v>7.0000000000000007E-2</v>
          </cell>
          <cell r="AK189">
            <v>440.2721255617829</v>
          </cell>
          <cell r="AL189">
            <v>6179.87</v>
          </cell>
          <cell r="AM189">
            <v>181.81818181818184</v>
          </cell>
          <cell r="AN189">
            <v>549.99</v>
          </cell>
        </row>
        <row r="190">
          <cell r="A190">
            <v>208</v>
          </cell>
          <cell r="B190" t="str">
            <v>RECEPCIONISTA</v>
          </cell>
          <cell r="C190">
            <v>44</v>
          </cell>
          <cell r="D190">
            <v>220</v>
          </cell>
          <cell r="E190" t="str">
            <v>DIARISTA DIURNO</v>
          </cell>
          <cell r="F190" t="str">
            <v>RECEPCIONISTA - DIARISTA DIURNO - 44H</v>
          </cell>
          <cell r="G190">
            <v>220</v>
          </cell>
          <cell r="L190">
            <v>8</v>
          </cell>
          <cell r="M190">
            <v>22</v>
          </cell>
          <cell r="N190">
            <v>24</v>
          </cell>
          <cell r="O190">
            <v>6</v>
          </cell>
          <cell r="R190">
            <v>3237.025661686117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3237.025661686117</v>
          </cell>
          <cell r="AA190">
            <v>0.81799999999999995</v>
          </cell>
          <cell r="AB190">
            <v>2647.8869912592436</v>
          </cell>
          <cell r="AC190">
            <v>62.000833333333333</v>
          </cell>
          <cell r="AD190">
            <v>0</v>
          </cell>
          <cell r="AE190">
            <v>62.000833333333333</v>
          </cell>
          <cell r="AF190">
            <v>6.2150892704373444</v>
          </cell>
          <cell r="AG190">
            <v>113.64067261146543</v>
          </cell>
          <cell r="AH190">
            <v>3.2562971679721289E-2</v>
          </cell>
          <cell r="AI190">
            <v>215.46149437979804</v>
          </cell>
          <cell r="AJ190">
            <v>7.0000000000000007E-2</v>
          </cell>
          <cell r="AK190">
            <v>478.25577522623524</v>
          </cell>
          <cell r="AL190">
            <v>6760.48</v>
          </cell>
          <cell r="AM190">
            <v>200.00000000000003</v>
          </cell>
          <cell r="AN190">
            <v>549.99</v>
          </cell>
        </row>
        <row r="191">
          <cell r="A191">
            <v>2012</v>
          </cell>
          <cell r="B191" t="str">
            <v>SUPERVISOR DE SERVIÇO</v>
          </cell>
          <cell r="C191">
            <v>40</v>
          </cell>
          <cell r="D191">
            <v>200</v>
          </cell>
          <cell r="E191" t="str">
            <v>DIARISTA DIURNO</v>
          </cell>
          <cell r="F191" t="str">
            <v>SUPERVISOR DE SERVIÇO - DIARISTA DIURNO</v>
          </cell>
          <cell r="G191">
            <v>200</v>
          </cell>
          <cell r="L191">
            <v>8</v>
          </cell>
          <cell r="M191">
            <v>22</v>
          </cell>
          <cell r="N191">
            <v>24</v>
          </cell>
          <cell r="O191">
            <v>6</v>
          </cell>
          <cell r="R191">
            <v>2968.3051711026692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2968.3051711026692</v>
          </cell>
          <cell r="AA191">
            <v>0.81799999999999995</v>
          </cell>
          <cell r="AB191">
            <v>2428.0736299619834</v>
          </cell>
          <cell r="AC191">
            <v>0</v>
          </cell>
          <cell r="AD191">
            <v>0</v>
          </cell>
          <cell r="AE191">
            <v>0</v>
          </cell>
          <cell r="AF191">
            <v>5.6991459285171242</v>
          </cell>
          <cell r="AG191">
            <v>176.43955755271347</v>
          </cell>
          <cell r="AH191">
            <v>0</v>
          </cell>
          <cell r="AI191">
            <v>0</v>
          </cell>
          <cell r="AJ191">
            <v>7.0000000000000007E-2</v>
          </cell>
          <cell r="AK191">
            <v>429.07098957676703</v>
          </cell>
          <cell r="AL191">
            <v>6007.58</v>
          </cell>
          <cell r="AM191">
            <v>181.81818181818184</v>
          </cell>
          <cell r="AN191">
            <v>551.05999999999995</v>
          </cell>
        </row>
        <row r="192">
          <cell r="A192">
            <v>1194</v>
          </cell>
          <cell r="B192" t="str">
            <v>SUPORTE ADMINISTRATIVO</v>
          </cell>
          <cell r="C192">
            <v>44</v>
          </cell>
          <cell r="D192">
            <v>210</v>
          </cell>
          <cell r="E192" t="str">
            <v>12x36 DIURNO</v>
          </cell>
          <cell r="F192" t="str">
            <v>SUPORTE ADMINISTRATIVO (COM UNIF.) - 12x36 DIURNO - 44H</v>
          </cell>
          <cell r="G192">
            <v>210</v>
          </cell>
          <cell r="H192" t="str">
            <v>(COM UNIF.)</v>
          </cell>
          <cell r="L192">
            <v>12</v>
          </cell>
          <cell r="M192">
            <v>15.22</v>
          </cell>
          <cell r="N192">
            <v>24</v>
          </cell>
          <cell r="O192">
            <v>6</v>
          </cell>
          <cell r="R192">
            <v>3052.3649856747788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4.2393958134371923</v>
          </cell>
          <cell r="Z192">
            <v>3056.6043814882159</v>
          </cell>
          <cell r="AA192">
            <v>0.81799999999999995</v>
          </cell>
          <cell r="AB192">
            <v>2500.3023840573605</v>
          </cell>
          <cell r="AC192">
            <v>33.509646464646472</v>
          </cell>
          <cell r="AD192">
            <v>6.5772863955289598E-2</v>
          </cell>
          <cell r="AE192">
            <v>33.575419328601761</v>
          </cell>
          <cell r="AF192">
            <v>5.8605407724955745</v>
          </cell>
          <cell r="AG192">
            <v>157.48825098563077</v>
          </cell>
          <cell r="AH192">
            <v>0</v>
          </cell>
          <cell r="AI192">
            <v>0</v>
          </cell>
          <cell r="AJ192">
            <v>7.0000000000000007E-2</v>
          </cell>
          <cell r="AK192">
            <v>441.18455379693853</v>
          </cell>
          <cell r="AL192">
            <v>6195.01</v>
          </cell>
          <cell r="AM192">
            <v>200.00000000000003</v>
          </cell>
          <cell r="AN192">
            <v>548.79999999999995</v>
          </cell>
        </row>
        <row r="193">
          <cell r="A193">
            <v>1195</v>
          </cell>
          <cell r="B193" t="str">
            <v>SUPORTE ADMINISTRATIVO</v>
          </cell>
          <cell r="C193">
            <v>44</v>
          </cell>
          <cell r="D193">
            <v>210</v>
          </cell>
          <cell r="E193" t="str">
            <v>12x36 NOTURNO</v>
          </cell>
          <cell r="F193" t="str">
            <v>SUPORTE ADMINISTRATIVO (COM UNIF.) - 12x36 NOTURNO - 44H</v>
          </cell>
          <cell r="G193">
            <v>210</v>
          </cell>
          <cell r="H193" t="str">
            <v>(COM UNIF.)</v>
          </cell>
          <cell r="L193">
            <v>12</v>
          </cell>
          <cell r="M193">
            <v>15.22</v>
          </cell>
          <cell r="N193">
            <v>24</v>
          </cell>
          <cell r="O193">
            <v>6</v>
          </cell>
          <cell r="P193">
            <v>7</v>
          </cell>
          <cell r="Q193">
            <v>2</v>
          </cell>
          <cell r="R193">
            <v>3052.3649856747788</v>
          </cell>
          <cell r="S193">
            <v>0</v>
          </cell>
          <cell r="T193">
            <v>711.07729292823535</v>
          </cell>
          <cell r="U193">
            <v>15.521725601954174</v>
          </cell>
          <cell r="V193">
            <v>58.206453545386843</v>
          </cell>
          <cell r="W193">
            <v>0</v>
          </cell>
          <cell r="X193">
            <v>0</v>
          </cell>
          <cell r="Y193">
            <v>4.2393958134371923</v>
          </cell>
          <cell r="Z193">
            <v>3841.4098535637922</v>
          </cell>
          <cell r="AA193">
            <v>0.81799999999999995</v>
          </cell>
          <cell r="AB193">
            <v>3142.2732602151818</v>
          </cell>
          <cell r="AC193">
            <v>33.509646464646472</v>
          </cell>
          <cell r="AD193">
            <v>6.5772863955289598E-2</v>
          </cell>
          <cell r="AE193">
            <v>33.575419328601761</v>
          </cell>
          <cell r="AF193">
            <v>5.8605407724955745</v>
          </cell>
          <cell r="AG193">
            <v>157.48825098563077</v>
          </cell>
          <cell r="AH193">
            <v>0</v>
          </cell>
          <cell r="AI193">
            <v>0</v>
          </cell>
          <cell r="AJ193">
            <v>7.0000000000000007E-2</v>
          </cell>
          <cell r="AK193">
            <v>541.05889817327636</v>
          </cell>
          <cell r="AL193">
            <v>7721.66</v>
          </cell>
          <cell r="AM193">
            <v>200.00000000000003</v>
          </cell>
          <cell r="AN193">
            <v>548.79999999999995</v>
          </cell>
        </row>
        <row r="194">
          <cell r="A194">
            <v>1196</v>
          </cell>
          <cell r="B194" t="str">
            <v>SUPORTE ADMINISTRATIVO</v>
          </cell>
          <cell r="C194">
            <v>30</v>
          </cell>
          <cell r="D194">
            <v>150</v>
          </cell>
          <cell r="E194" t="str">
            <v>DIARISTA DIURNO</v>
          </cell>
          <cell r="F194" t="str">
            <v>SUPORTE ADMINISTRATIVO (COM UNIF.) - DIARISTA DIURNO - 30H</v>
          </cell>
          <cell r="G194">
            <v>150</v>
          </cell>
          <cell r="H194" t="str">
            <v>(COM UNIF.)</v>
          </cell>
          <cell r="L194">
            <v>6</v>
          </cell>
          <cell r="M194">
            <v>22</v>
          </cell>
          <cell r="N194">
            <v>24</v>
          </cell>
          <cell r="O194">
            <v>6</v>
          </cell>
          <cell r="R194">
            <v>2081.1579447782583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2081.1579447782583</v>
          </cell>
          <cell r="AA194">
            <v>0.81799999999999995</v>
          </cell>
          <cell r="AB194">
            <v>1702.3871988286153</v>
          </cell>
          <cell r="AC194">
            <v>33.509646464646472</v>
          </cell>
          <cell r="AD194">
            <v>6.5772863955289598E-2</v>
          </cell>
          <cell r="AE194">
            <v>33.575419328601761</v>
          </cell>
          <cell r="AF194">
            <v>3.9958232539742555</v>
          </cell>
          <cell r="AG194">
            <v>194.63476740272569</v>
          </cell>
          <cell r="AH194">
            <v>0</v>
          </cell>
          <cell r="AI194">
            <v>0</v>
          </cell>
          <cell r="AJ194">
            <v>7.0000000000000007E-2</v>
          </cell>
          <cell r="AK194">
            <v>319.51896618412945</v>
          </cell>
          <cell r="AL194">
            <v>4335.2700000000004</v>
          </cell>
          <cell r="AM194">
            <v>136.36363636363637</v>
          </cell>
          <cell r="AN194">
            <v>548.79999999999995</v>
          </cell>
        </row>
        <row r="195">
          <cell r="A195">
            <v>1197</v>
          </cell>
          <cell r="B195" t="str">
            <v>SUPORTE ADMINISTRATIVO</v>
          </cell>
          <cell r="C195">
            <v>40</v>
          </cell>
          <cell r="D195">
            <v>200</v>
          </cell>
          <cell r="E195" t="str">
            <v>DIARISTA DIURNO</v>
          </cell>
          <cell r="F195" t="str">
            <v>SUPORTE ADMINISTRATIVO (COM UNIF.) - DIARISTA DIURNO - 40H</v>
          </cell>
          <cell r="G195">
            <v>200</v>
          </cell>
          <cell r="H195" t="str">
            <v>(COM UNIF.)</v>
          </cell>
          <cell r="L195">
            <v>8</v>
          </cell>
          <cell r="M195">
            <v>22</v>
          </cell>
          <cell r="N195">
            <v>24</v>
          </cell>
          <cell r="O195">
            <v>6</v>
          </cell>
          <cell r="R195">
            <v>2774.8772597043444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2774.8772597043444</v>
          </cell>
          <cell r="AA195">
            <v>0.81799999999999995</v>
          </cell>
          <cell r="AB195">
            <v>2269.8495984381534</v>
          </cell>
          <cell r="AC195">
            <v>33.509646464646472</v>
          </cell>
          <cell r="AD195">
            <v>6.5772863955289598E-2</v>
          </cell>
          <cell r="AE195">
            <v>33.575419328601761</v>
          </cell>
          <cell r="AF195">
            <v>5.327764338632341</v>
          </cell>
          <cell r="AG195">
            <v>168.10154139051505</v>
          </cell>
          <cell r="AH195">
            <v>0</v>
          </cell>
          <cell r="AI195">
            <v>0</v>
          </cell>
          <cell r="AJ195">
            <v>7.0000000000000007E-2</v>
          </cell>
          <cell r="AK195">
            <v>406.0375962566946</v>
          </cell>
          <cell r="AL195">
            <v>5657.76</v>
          </cell>
          <cell r="AM195">
            <v>181.81818181818184</v>
          </cell>
          <cell r="AN195">
            <v>548.79999999999995</v>
          </cell>
        </row>
        <row r="196">
          <cell r="A196">
            <v>1198</v>
          </cell>
          <cell r="B196" t="str">
            <v>SUPORTE ADMINISTRATIVO</v>
          </cell>
          <cell r="C196">
            <v>44</v>
          </cell>
          <cell r="D196">
            <v>220</v>
          </cell>
          <cell r="E196" t="str">
            <v>DIARISTA DIURNO</v>
          </cell>
          <cell r="F196" t="str">
            <v>SUPORTE ADMINISTRATIVO (COM UNIF.) - DIARISTA DIURNO - 44H</v>
          </cell>
          <cell r="G196">
            <v>220</v>
          </cell>
          <cell r="H196" t="str">
            <v>(COM UNIF.)</v>
          </cell>
          <cell r="L196">
            <v>8</v>
          </cell>
          <cell r="M196">
            <v>22</v>
          </cell>
          <cell r="N196">
            <v>24</v>
          </cell>
          <cell r="O196">
            <v>6</v>
          </cell>
          <cell r="R196">
            <v>3052.3649856747788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3052.3649856747788</v>
          </cell>
          <cell r="AA196">
            <v>0.81799999999999995</v>
          </cell>
          <cell r="AB196">
            <v>2496.8345582819688</v>
          </cell>
          <cell r="AC196">
            <v>33.509646464646472</v>
          </cell>
          <cell r="AD196">
            <v>6.5772863955289598E-2</v>
          </cell>
          <cell r="AE196">
            <v>33.575419328601761</v>
          </cell>
          <cell r="AF196">
            <v>5.8605407724955745</v>
          </cell>
          <cell r="AG196">
            <v>157.48825098563077</v>
          </cell>
          <cell r="AH196">
            <v>0</v>
          </cell>
          <cell r="AI196">
            <v>0</v>
          </cell>
          <cell r="AJ196">
            <v>7.0000000000000007E-2</v>
          </cell>
          <cell r="AK196">
            <v>440.64504828572052</v>
          </cell>
          <cell r="AL196">
            <v>6186.76</v>
          </cell>
          <cell r="AM196">
            <v>200.00000000000003</v>
          </cell>
          <cell r="AN196">
            <v>548.79999999999995</v>
          </cell>
        </row>
        <row r="197">
          <cell r="A197">
            <v>67</v>
          </cell>
          <cell r="B197" t="str">
            <v>SUPORTE ADMINISTRATIVO</v>
          </cell>
          <cell r="C197">
            <v>44</v>
          </cell>
          <cell r="D197">
            <v>210</v>
          </cell>
          <cell r="E197" t="str">
            <v>12x36 DIURNO</v>
          </cell>
          <cell r="F197" t="str">
            <v>SUPORTE ADMINISTRATIVO - 12x36 DIURNO - 44H</v>
          </cell>
          <cell r="G197">
            <v>210</v>
          </cell>
          <cell r="L197">
            <v>12</v>
          </cell>
          <cell r="M197">
            <v>15.22</v>
          </cell>
          <cell r="N197">
            <v>24</v>
          </cell>
          <cell r="O197">
            <v>6</v>
          </cell>
          <cell r="R197">
            <v>3052.3649856747788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4.2393958134371923</v>
          </cell>
          <cell r="Z197">
            <v>3056.6043814882159</v>
          </cell>
          <cell r="AA197">
            <v>0.81799999999999995</v>
          </cell>
          <cell r="AB197">
            <v>2500.3023840573605</v>
          </cell>
          <cell r="AC197">
            <v>0</v>
          </cell>
          <cell r="AD197">
            <v>6.5772863955289598E-2</v>
          </cell>
          <cell r="AE197">
            <v>6.5772863955289598E-2</v>
          </cell>
          <cell r="AF197">
            <v>5.8605407724955745</v>
          </cell>
          <cell r="AG197">
            <v>157.48825098563077</v>
          </cell>
          <cell r="AH197">
            <v>0</v>
          </cell>
          <cell r="AI197">
            <v>0</v>
          </cell>
          <cell r="AJ197">
            <v>7.0000000000000007E-2</v>
          </cell>
          <cell r="AK197">
            <v>438.83887854441326</v>
          </cell>
          <cell r="AL197">
            <v>6159.16</v>
          </cell>
          <cell r="AM197">
            <v>200.00000000000003</v>
          </cell>
          <cell r="AN197">
            <v>548.79999999999995</v>
          </cell>
        </row>
        <row r="198">
          <cell r="A198">
            <v>1192</v>
          </cell>
          <cell r="B198" t="str">
            <v>SUPORTE ADMINISTRATIVO</v>
          </cell>
          <cell r="C198">
            <v>30</v>
          </cell>
          <cell r="D198">
            <v>150</v>
          </cell>
          <cell r="E198" t="str">
            <v>DIARISTA DIURNO</v>
          </cell>
          <cell r="F198" t="str">
            <v>SUPORTE ADMINISTRATIVO - (PERIC.) - DIARISTA DIURNO - 30H</v>
          </cell>
          <cell r="G198">
            <v>150</v>
          </cell>
          <cell r="I198" t="str">
            <v>X</v>
          </cell>
          <cell r="L198">
            <v>6</v>
          </cell>
          <cell r="M198">
            <v>22</v>
          </cell>
          <cell r="N198">
            <v>24</v>
          </cell>
          <cell r="O198">
            <v>6</v>
          </cell>
          <cell r="R198">
            <v>2081.1579447782583</v>
          </cell>
          <cell r="S198">
            <v>624.34738343347749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2705.505328211736</v>
          </cell>
          <cell r="AA198">
            <v>0.81799999999999995</v>
          </cell>
          <cell r="AB198">
            <v>2213.1033584771999</v>
          </cell>
          <cell r="AC198">
            <v>0</v>
          </cell>
          <cell r="AD198">
            <v>6.5772863955289598E-2</v>
          </cell>
          <cell r="AE198">
            <v>6.5772863955289598E-2</v>
          </cell>
          <cell r="AF198">
            <v>3.9958232539742555</v>
          </cell>
          <cell r="AG198">
            <v>194.63476740272569</v>
          </cell>
          <cell r="AH198">
            <v>0</v>
          </cell>
          <cell r="AI198">
            <v>0</v>
          </cell>
          <cell r="AJ198">
            <v>7.0000000000000007E-2</v>
          </cell>
          <cell r="AK198">
            <v>396.62773894734863</v>
          </cell>
          <cell r="AL198">
            <v>5513.93</v>
          </cell>
          <cell r="AM198">
            <v>136.36363636363637</v>
          </cell>
          <cell r="AN198">
            <v>548.79999999999995</v>
          </cell>
        </row>
        <row r="199">
          <cell r="A199">
            <v>63</v>
          </cell>
          <cell r="B199" t="str">
            <v>SUPORTE ADMINISTRATIVO</v>
          </cell>
          <cell r="C199">
            <v>30</v>
          </cell>
          <cell r="D199">
            <v>150</v>
          </cell>
          <cell r="E199" t="str">
            <v>DIARISTA DIURNO</v>
          </cell>
          <cell r="F199" t="str">
            <v>SUPORTE ADMINISTRATIVO - DIARISTA DIURNO - 30H</v>
          </cell>
          <cell r="G199">
            <v>150</v>
          </cell>
          <cell r="L199">
            <v>6</v>
          </cell>
          <cell r="M199">
            <v>22</v>
          </cell>
          <cell r="N199">
            <v>24</v>
          </cell>
          <cell r="O199">
            <v>6</v>
          </cell>
          <cell r="R199">
            <v>2081.1579447782583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2081.1579447782583</v>
          </cell>
          <cell r="AA199">
            <v>0.81799999999999995</v>
          </cell>
          <cell r="AB199">
            <v>1702.3871988286153</v>
          </cell>
          <cell r="AC199">
            <v>0</v>
          </cell>
          <cell r="AD199">
            <v>6.5772863955289598E-2</v>
          </cell>
          <cell r="AE199">
            <v>6.5772863955289598E-2</v>
          </cell>
          <cell r="AF199">
            <v>3.9958232539742555</v>
          </cell>
          <cell r="AG199">
            <v>194.63476740272569</v>
          </cell>
          <cell r="AH199">
            <v>0</v>
          </cell>
          <cell r="AI199">
            <v>0</v>
          </cell>
          <cell r="AJ199">
            <v>7.0000000000000007E-2</v>
          </cell>
          <cell r="AK199">
            <v>317.17329093160419</v>
          </cell>
          <cell r="AL199">
            <v>4299.41</v>
          </cell>
          <cell r="AM199">
            <v>136.36363636363637</v>
          </cell>
          <cell r="AN199">
            <v>548.79999999999995</v>
          </cell>
        </row>
        <row r="200">
          <cell r="A200">
            <v>62</v>
          </cell>
          <cell r="B200" t="str">
            <v>SUPORTE ADMINISTRATIVO</v>
          </cell>
          <cell r="C200">
            <v>36</v>
          </cell>
          <cell r="D200">
            <v>180</v>
          </cell>
          <cell r="E200" t="str">
            <v>DIARISTA DIURNO</v>
          </cell>
          <cell r="F200" t="str">
            <v>SUPORTE ADMINISTRATIVO - DIARISTA DIURNO - 36H</v>
          </cell>
          <cell r="G200">
            <v>180</v>
          </cell>
          <cell r="L200">
            <v>6</v>
          </cell>
          <cell r="M200">
            <v>26</v>
          </cell>
          <cell r="N200">
            <v>24</v>
          </cell>
          <cell r="O200">
            <v>6</v>
          </cell>
          <cell r="R200">
            <v>2497.38953373391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2497.38953373391</v>
          </cell>
          <cell r="AA200">
            <v>0.81799999999999995</v>
          </cell>
          <cell r="AB200">
            <v>2042.8646385943382</v>
          </cell>
          <cell r="AC200">
            <v>0</v>
          </cell>
          <cell r="AD200">
            <v>6.5772863955289598E-2</v>
          </cell>
          <cell r="AE200">
            <v>6.5772863955289598E-2</v>
          </cell>
          <cell r="AF200">
            <v>4.7949879047691066</v>
          </cell>
          <cell r="AG200">
            <v>178.71483179539931</v>
          </cell>
          <cell r="AH200">
            <v>0</v>
          </cell>
          <cell r="AI200">
            <v>0</v>
          </cell>
          <cell r="AJ200">
            <v>7.0000000000000007E-2</v>
          </cell>
          <cell r="AK200">
            <v>369.0844689751433</v>
          </cell>
          <cell r="AL200">
            <v>5092.91</v>
          </cell>
          <cell r="AM200">
            <v>163.63636363636365</v>
          </cell>
          <cell r="AN200">
            <v>648.58000000000004</v>
          </cell>
        </row>
        <row r="201">
          <cell r="A201">
            <v>1193</v>
          </cell>
          <cell r="B201" t="str">
            <v>SUPORTE ADMINISTRATIVO</v>
          </cell>
          <cell r="C201">
            <v>40</v>
          </cell>
          <cell r="D201">
            <v>200</v>
          </cell>
          <cell r="E201" t="str">
            <v>DIARISTA DIURNO</v>
          </cell>
          <cell r="F201" t="str">
            <v>SUPORTE ADMINISTRATIVO - (PERIC.) - DIARISTA DIURNO - 40H</v>
          </cell>
          <cell r="G201">
            <v>200</v>
          </cell>
          <cell r="I201" t="str">
            <v>X</v>
          </cell>
          <cell r="L201">
            <v>8</v>
          </cell>
          <cell r="M201">
            <v>22</v>
          </cell>
          <cell r="N201">
            <v>24</v>
          </cell>
          <cell r="O201">
            <v>6</v>
          </cell>
          <cell r="R201">
            <v>2774.8772597043444</v>
          </cell>
          <cell r="S201">
            <v>832.46317791130332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3607.3404376156477</v>
          </cell>
          <cell r="AA201">
            <v>0.81799999999999995</v>
          </cell>
          <cell r="AB201">
            <v>2950.8044779695997</v>
          </cell>
          <cell r="AC201">
            <v>0</v>
          </cell>
          <cell r="AD201">
            <v>6.5772863955289598E-2</v>
          </cell>
          <cell r="AE201">
            <v>6.5772863955289598E-2</v>
          </cell>
          <cell r="AF201">
            <v>5.327764338632341</v>
          </cell>
          <cell r="AG201">
            <v>168.10154139051505</v>
          </cell>
          <cell r="AH201">
            <v>0</v>
          </cell>
          <cell r="AI201">
            <v>0</v>
          </cell>
          <cell r="AJ201">
            <v>7.0000000000000007E-2</v>
          </cell>
          <cell r="AK201">
            <v>509.63118502516181</v>
          </cell>
          <cell r="AL201">
            <v>7241.27</v>
          </cell>
          <cell r="AM201">
            <v>181.81818181818184</v>
          </cell>
          <cell r="AN201">
            <v>548.79999999999995</v>
          </cell>
        </row>
        <row r="202">
          <cell r="A202">
            <v>61</v>
          </cell>
          <cell r="B202" t="str">
            <v>SUPORTE ADMINISTRATIVO</v>
          </cell>
          <cell r="C202">
            <v>40</v>
          </cell>
          <cell r="D202">
            <v>200</v>
          </cell>
          <cell r="E202" t="str">
            <v>DIARISTA DIURNO</v>
          </cell>
          <cell r="F202" t="str">
            <v>SUPORTE ADMINISTRATIVO - DIARISTA DIURNO - 40H</v>
          </cell>
          <cell r="G202">
            <v>200</v>
          </cell>
          <cell r="L202">
            <v>8</v>
          </cell>
          <cell r="M202">
            <v>22</v>
          </cell>
          <cell r="N202">
            <v>24</v>
          </cell>
          <cell r="O202">
            <v>6</v>
          </cell>
          <cell r="R202">
            <v>2774.8772597043444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2774.8772597043444</v>
          </cell>
          <cell r="AA202">
            <v>0.81799999999999995</v>
          </cell>
          <cell r="AB202">
            <v>2269.8495984381534</v>
          </cell>
          <cell r="AC202">
            <v>0</v>
          </cell>
          <cell r="AD202">
            <v>6.5772863955289598E-2</v>
          </cell>
          <cell r="AE202">
            <v>6.5772863955289598E-2</v>
          </cell>
          <cell r="AF202">
            <v>5.327764338632341</v>
          </cell>
          <cell r="AG202">
            <v>168.10154139051505</v>
          </cell>
          <cell r="AH202">
            <v>0</v>
          </cell>
          <cell r="AI202">
            <v>0</v>
          </cell>
          <cell r="AJ202">
            <v>7.0000000000000007E-2</v>
          </cell>
          <cell r="AK202">
            <v>403.69192100416933</v>
          </cell>
          <cell r="AL202">
            <v>5621.91</v>
          </cell>
          <cell r="AM202">
            <v>181.81818181818184</v>
          </cell>
          <cell r="AN202">
            <v>548.79999999999995</v>
          </cell>
        </row>
        <row r="203">
          <cell r="A203">
            <v>60</v>
          </cell>
          <cell r="B203" t="str">
            <v>SUPORTE ADMINISTRATIVO</v>
          </cell>
          <cell r="C203">
            <v>44</v>
          </cell>
          <cell r="D203">
            <v>220</v>
          </cell>
          <cell r="E203" t="str">
            <v>DIARISTA DIURNO</v>
          </cell>
          <cell r="F203" t="str">
            <v>SUPORTE ADMINISTRATIVO - DIARISTA DIURNO - 44H</v>
          </cell>
          <cell r="G203">
            <v>220</v>
          </cell>
          <cell r="L203">
            <v>8</v>
          </cell>
          <cell r="M203">
            <v>22</v>
          </cell>
          <cell r="N203">
            <v>24</v>
          </cell>
          <cell r="O203">
            <v>6</v>
          </cell>
          <cell r="R203">
            <v>3052.3649856747788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3052.3649856747788</v>
          </cell>
          <cell r="AA203">
            <v>0.81799999999999995</v>
          </cell>
          <cell r="AB203">
            <v>2496.8345582819688</v>
          </cell>
          <cell r="AC203">
            <v>0</v>
          </cell>
          <cell r="AD203">
            <v>6.5772863955289598E-2</v>
          </cell>
          <cell r="AE203">
            <v>6.5772863955289598E-2</v>
          </cell>
          <cell r="AF203">
            <v>5.8605407724955745</v>
          </cell>
          <cell r="AG203">
            <v>157.48825098563077</v>
          </cell>
          <cell r="AH203">
            <v>0</v>
          </cell>
          <cell r="AI203">
            <v>0</v>
          </cell>
          <cell r="AJ203">
            <v>7.0000000000000007E-2</v>
          </cell>
          <cell r="AK203">
            <v>438.29937303319525</v>
          </cell>
          <cell r="AL203">
            <v>6150.91</v>
          </cell>
          <cell r="AM203">
            <v>200.00000000000003</v>
          </cell>
          <cell r="AN203">
            <v>548.79999999999995</v>
          </cell>
        </row>
        <row r="204">
          <cell r="A204">
            <v>1908</v>
          </cell>
          <cell r="B204" t="str">
            <v>TÉCNICO FABRIL</v>
          </cell>
          <cell r="C204">
            <v>40</v>
          </cell>
          <cell r="D204">
            <v>200</v>
          </cell>
          <cell r="E204" t="str">
            <v>DIARISTA DIURNO</v>
          </cell>
          <cell r="F204" t="str">
            <v>TÉCNICO FABRIL - DIARISTA DIURNO - 40H</v>
          </cell>
          <cell r="G204">
            <v>200</v>
          </cell>
          <cell r="L204">
            <v>8</v>
          </cell>
          <cell r="M204">
            <v>22</v>
          </cell>
          <cell r="N204">
            <v>24</v>
          </cell>
          <cell r="O204">
            <v>6</v>
          </cell>
          <cell r="R204">
            <v>3242.4902499999994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3242.4902499999994</v>
          </cell>
          <cell r="AA204">
            <v>0.81799999999999995</v>
          </cell>
          <cell r="AB204">
            <v>2652.3570244999992</v>
          </cell>
          <cell r="AC204">
            <v>0</v>
          </cell>
          <cell r="AD204">
            <v>51.92618181818181</v>
          </cell>
          <cell r="AE204">
            <v>51.92618181818181</v>
          </cell>
          <cell r="AF204">
            <v>6.2255812799999983</v>
          </cell>
          <cell r="AG204">
            <v>355.45454545454544</v>
          </cell>
          <cell r="AH204">
            <v>0</v>
          </cell>
          <cell r="AI204">
            <v>0</v>
          </cell>
          <cell r="AJ204">
            <v>7.0000000000000007E-2</v>
          </cell>
          <cell r="AK204">
            <v>480.20235081369083</v>
          </cell>
          <cell r="AL204">
            <v>6788.65</v>
          </cell>
          <cell r="AM204">
            <v>181.81818181818184</v>
          </cell>
          <cell r="AN204">
            <v>551.58000000000004</v>
          </cell>
        </row>
        <row r="205">
          <cell r="A205">
            <v>230</v>
          </cell>
          <cell r="B205" t="str">
            <v>TÉCNICO EM MANUTENÇÃO VEICULAR</v>
          </cell>
          <cell r="C205">
            <v>40</v>
          </cell>
          <cell r="D205">
            <v>200</v>
          </cell>
          <cell r="E205" t="str">
            <v>DIARISTA DIURNO</v>
          </cell>
          <cell r="F205" t="str">
            <v>TÉCNICO EM MANUTENÇÃO VEICULAR - (PERIC.) - DIARISTA DIURNO - 40H</v>
          </cell>
          <cell r="G205">
            <v>200</v>
          </cell>
          <cell r="I205" t="str">
            <v>X</v>
          </cell>
          <cell r="L205">
            <v>8</v>
          </cell>
          <cell r="M205">
            <v>22</v>
          </cell>
          <cell r="N205">
            <v>24</v>
          </cell>
          <cell r="O205">
            <v>6</v>
          </cell>
          <cell r="R205">
            <v>2957.475011363636</v>
          </cell>
          <cell r="S205">
            <v>887.24250340909077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3844.7175147727266</v>
          </cell>
          <cell r="AA205">
            <v>0.81799999999999995</v>
          </cell>
          <cell r="AB205">
            <v>3144.9789270840902</v>
          </cell>
          <cell r="AC205">
            <v>19.18</v>
          </cell>
          <cell r="AD205">
            <v>29.21</v>
          </cell>
          <cell r="AE205">
            <v>48.39</v>
          </cell>
          <cell r="AF205">
            <v>5.6783520218181804</v>
          </cell>
          <cell r="AG205">
            <v>152.35022727272727</v>
          </cell>
          <cell r="AH205">
            <v>3.2520914593410069E-2</v>
          </cell>
          <cell r="AI205">
            <v>251.96212807865186</v>
          </cell>
          <cell r="AJ205">
            <v>7.0000000000000007E-2</v>
          </cell>
          <cell r="AK205">
            <v>559.97600044610101</v>
          </cell>
          <cell r="AL205">
            <v>8008.05</v>
          </cell>
          <cell r="AM205">
            <v>181.81818181818184</v>
          </cell>
          <cell r="AN205">
            <v>551.58000000000004</v>
          </cell>
        </row>
        <row r="206">
          <cell r="A206">
            <v>228</v>
          </cell>
          <cell r="B206" t="str">
            <v>TÉCNICO EM MANUTENÇÃO VEICULAR</v>
          </cell>
          <cell r="C206">
            <v>40</v>
          </cell>
          <cell r="D206">
            <v>200</v>
          </cell>
          <cell r="E206" t="str">
            <v>DIARISTA DIURNO</v>
          </cell>
          <cell r="F206" t="str">
            <v>TÉCNICO EM MANUTENÇÃO VEICULAR - DIARISTA DIURNO - 40H</v>
          </cell>
          <cell r="G206">
            <v>200</v>
          </cell>
          <cell r="L206">
            <v>8</v>
          </cell>
          <cell r="M206">
            <v>22</v>
          </cell>
          <cell r="N206">
            <v>24</v>
          </cell>
          <cell r="O206">
            <v>6</v>
          </cell>
          <cell r="R206">
            <v>2957.475011363636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2957.475011363636</v>
          </cell>
          <cell r="AA206">
            <v>0.81799999999999995</v>
          </cell>
          <cell r="AB206">
            <v>2419.2145592954539</v>
          </cell>
          <cell r="AC206">
            <v>19.18</v>
          </cell>
          <cell r="AD206">
            <v>29.21</v>
          </cell>
          <cell r="AE206">
            <v>48.39</v>
          </cell>
          <cell r="AF206">
            <v>5.6783520218181804</v>
          </cell>
          <cell r="AG206">
            <v>152.35022727272727</v>
          </cell>
          <cell r="AH206">
            <v>3.2520914593410069E-2</v>
          </cell>
          <cell r="AI206">
            <v>199.50566938184699</v>
          </cell>
          <cell r="AJ206">
            <v>7.0000000000000007E-2</v>
          </cell>
          <cell r="AK206">
            <v>443.39356735348377</v>
          </cell>
          <cell r="AL206">
            <v>6226</v>
          </cell>
          <cell r="AM206">
            <v>181.81818181818184</v>
          </cell>
          <cell r="AN206">
            <v>551.58000000000004</v>
          </cell>
        </row>
        <row r="207">
          <cell r="A207">
            <v>227</v>
          </cell>
          <cell r="B207" t="str">
            <v>TÉCNICO EM MANUTENÇÃO VEICULAR</v>
          </cell>
          <cell r="C207">
            <v>44</v>
          </cell>
          <cell r="D207">
            <v>220</v>
          </cell>
          <cell r="E207" t="str">
            <v>DIARISTA DIURNO</v>
          </cell>
          <cell r="F207" t="str">
            <v>TÉCNICO EM MANUTENÇÃO VEICULAR - DIARISTA DIURNO - 44H</v>
          </cell>
          <cell r="G207">
            <v>220</v>
          </cell>
          <cell r="L207">
            <v>8</v>
          </cell>
          <cell r="M207">
            <v>22</v>
          </cell>
          <cell r="N207">
            <v>24</v>
          </cell>
          <cell r="O207">
            <v>6</v>
          </cell>
          <cell r="R207">
            <v>3253.2225124999995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3253.2225124999995</v>
          </cell>
          <cell r="AA207">
            <v>0.81799999999999995</v>
          </cell>
          <cell r="AB207">
            <v>2661.1360152249995</v>
          </cell>
          <cell r="AC207">
            <v>19.18</v>
          </cell>
          <cell r="AD207">
            <v>29.21</v>
          </cell>
          <cell r="AE207">
            <v>48.39</v>
          </cell>
          <cell r="AF207">
            <v>6.2461872239999989</v>
          </cell>
          <cell r="AG207">
            <v>136.82374999999999</v>
          </cell>
          <cell r="AH207">
            <v>3.2520914593410069E-2</v>
          </cell>
          <cell r="AI207">
            <v>216.50468689290568</v>
          </cell>
          <cell r="AJ207">
            <v>7.0000000000000007E-2</v>
          </cell>
          <cell r="AK207">
            <v>481.17322062893334</v>
          </cell>
          <cell r="AL207">
            <v>6803.49</v>
          </cell>
          <cell r="AM207">
            <v>200.00000000000003</v>
          </cell>
          <cell r="AN207">
            <v>551.58000000000004</v>
          </cell>
        </row>
        <row r="208">
          <cell r="A208">
            <v>156</v>
          </cell>
          <cell r="B208" t="str">
            <v>TÉCNICO ESPECIALIZADO</v>
          </cell>
          <cell r="C208">
            <v>44</v>
          </cell>
          <cell r="D208">
            <v>210</v>
          </cell>
          <cell r="E208" t="str">
            <v>12x36 DIURNO</v>
          </cell>
          <cell r="F208" t="str">
            <v>TÉCNICO ESPECIALIZADO - 12x36 DIURNO - 44H</v>
          </cell>
          <cell r="G208">
            <v>210</v>
          </cell>
          <cell r="L208">
            <v>12</v>
          </cell>
          <cell r="M208">
            <v>15.22</v>
          </cell>
          <cell r="N208">
            <v>24</v>
          </cell>
          <cell r="O208">
            <v>6</v>
          </cell>
          <cell r="R208">
            <v>3816.7366911116533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5.3010231820995184</v>
          </cell>
          <cell r="Z208">
            <v>3822.0377142937527</v>
          </cell>
          <cell r="AA208">
            <v>0.81799999999999995</v>
          </cell>
          <cell r="AB208">
            <v>3126.4268502922896</v>
          </cell>
          <cell r="AC208">
            <v>25.948381261595543</v>
          </cell>
          <cell r="AD208">
            <v>3.1227443667443668</v>
          </cell>
          <cell r="AE208">
            <v>29.07112562833991</v>
          </cell>
          <cell r="AF208">
            <v>7.3281344469343734</v>
          </cell>
          <cell r="AG208">
            <v>103.42749081632675</v>
          </cell>
          <cell r="AH208">
            <v>0</v>
          </cell>
          <cell r="AI208">
            <v>0</v>
          </cell>
          <cell r="AJ208">
            <v>7.0000000000000007E-2</v>
          </cell>
          <cell r="AK208">
            <v>534.60660994057798</v>
          </cell>
          <cell r="AL208">
            <v>7622.89</v>
          </cell>
          <cell r="AM208">
            <v>200.00000000000003</v>
          </cell>
          <cell r="AN208">
            <v>548.94000000000005</v>
          </cell>
        </row>
        <row r="209">
          <cell r="A209">
            <v>157</v>
          </cell>
          <cell r="B209" t="str">
            <v>TÉCNICO ESPECIALIZADO</v>
          </cell>
          <cell r="C209">
            <v>44</v>
          </cell>
          <cell r="D209">
            <v>210</v>
          </cell>
          <cell r="E209" t="str">
            <v>12x36 NOTURNO</v>
          </cell>
          <cell r="F209" t="str">
            <v>TÉCNICO ESPECIALIZADO - 12x36 NOTURNO - 44H</v>
          </cell>
          <cell r="G209">
            <v>210</v>
          </cell>
          <cell r="L209">
            <v>12</v>
          </cell>
          <cell r="M209">
            <v>15.22</v>
          </cell>
          <cell r="N209">
            <v>24</v>
          </cell>
          <cell r="O209">
            <v>6</v>
          </cell>
          <cell r="P209">
            <v>7</v>
          </cell>
          <cell r="Q209">
            <v>2</v>
          </cell>
          <cell r="R209">
            <v>3816.7366911116533</v>
          </cell>
          <cell r="S209">
            <v>0</v>
          </cell>
          <cell r="T209">
            <v>889.14491119926436</v>
          </cell>
          <cell r="U209">
            <v>19.408668325177057</v>
          </cell>
          <cell r="V209">
            <v>72.782484384662098</v>
          </cell>
          <cell r="W209">
            <v>0</v>
          </cell>
          <cell r="X209">
            <v>0</v>
          </cell>
          <cell r="Y209">
            <v>5.3010231820995184</v>
          </cell>
          <cell r="Z209">
            <v>4803.3737782028566</v>
          </cell>
          <cell r="AA209">
            <v>0.81799999999999995</v>
          </cell>
          <cell r="AB209">
            <v>3929.1597505699365</v>
          </cell>
          <cell r="AC209">
            <v>25.948381261595543</v>
          </cell>
          <cell r="AD209">
            <v>3.1227443667443668</v>
          </cell>
          <cell r="AE209">
            <v>29.07112562833991</v>
          </cell>
          <cell r="AF209">
            <v>7.3281344469343734</v>
          </cell>
          <cell r="AG209">
            <v>103.42749081632675</v>
          </cell>
          <cell r="AH209">
            <v>0</v>
          </cell>
          <cell r="AI209">
            <v>0</v>
          </cell>
          <cell r="AJ209">
            <v>7.0000000000000007E-2</v>
          </cell>
          <cell r="AK209">
            <v>659.4914374336505</v>
          </cell>
          <cell r="AL209">
            <v>9531.85</v>
          </cell>
          <cell r="AM209">
            <v>200.00000000000003</v>
          </cell>
          <cell r="AN209">
            <v>548.94000000000005</v>
          </cell>
        </row>
        <row r="210">
          <cell r="A210">
            <v>159</v>
          </cell>
          <cell r="B210" t="str">
            <v>TÉCNICO ESPECIALIZADO</v>
          </cell>
          <cell r="C210">
            <v>40</v>
          </cell>
          <cell r="D210">
            <v>200</v>
          </cell>
          <cell r="E210" t="str">
            <v>DIARISTA DIURNO</v>
          </cell>
          <cell r="F210" t="str">
            <v>TÉCNICO ESPECIALIZADO - (PERIC.) - DIARISTA DIURNO - 40H</v>
          </cell>
          <cell r="G210">
            <v>200</v>
          </cell>
          <cell r="I210" t="str">
            <v>X</v>
          </cell>
          <cell r="L210">
            <v>8</v>
          </cell>
          <cell r="M210">
            <v>22</v>
          </cell>
          <cell r="N210">
            <v>24</v>
          </cell>
          <cell r="O210">
            <v>6</v>
          </cell>
          <cell r="R210">
            <v>3469.7606282833212</v>
          </cell>
          <cell r="S210">
            <v>1040.9281884849963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4510.6888167683173</v>
          </cell>
          <cell r="AA210">
            <v>0.81799999999999995</v>
          </cell>
          <cell r="AB210">
            <v>3689.7434521164832</v>
          </cell>
          <cell r="AC210">
            <v>25.948381261595543</v>
          </cell>
          <cell r="AD210">
            <v>3.1227443667443668</v>
          </cell>
          <cell r="AE210">
            <v>29.07112562833991</v>
          </cell>
          <cell r="AF210">
            <v>6.6619404063039758</v>
          </cell>
          <cell r="AG210">
            <v>112.86165955473119</v>
          </cell>
          <cell r="AH210">
            <v>0</v>
          </cell>
          <cell r="AI210">
            <v>0</v>
          </cell>
          <cell r="AJ210">
            <v>7.0000000000000007E-2</v>
          </cell>
          <cell r="AK210">
            <v>622.85810747033531</v>
          </cell>
          <cell r="AL210">
            <v>8971.8799999999992</v>
          </cell>
          <cell r="AM210">
            <v>181.81818181818184</v>
          </cell>
          <cell r="AN210">
            <v>548.94000000000005</v>
          </cell>
        </row>
        <row r="211">
          <cell r="A211">
            <v>153</v>
          </cell>
          <cell r="B211" t="str">
            <v>TÉCNICO ESPECIALIZADO</v>
          </cell>
          <cell r="C211">
            <v>40</v>
          </cell>
          <cell r="D211">
            <v>200</v>
          </cell>
          <cell r="E211" t="str">
            <v>DIARISTA DIURNO</v>
          </cell>
          <cell r="F211" t="str">
            <v>TÉCNICO ESPECIALIZADO - DIARISTA DIURNO - 40H</v>
          </cell>
          <cell r="G211">
            <v>200</v>
          </cell>
          <cell r="L211">
            <v>8</v>
          </cell>
          <cell r="M211">
            <v>22</v>
          </cell>
          <cell r="N211">
            <v>24</v>
          </cell>
          <cell r="O211">
            <v>6</v>
          </cell>
          <cell r="R211">
            <v>3469.7606282833212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3469.7606282833212</v>
          </cell>
          <cell r="AA211">
            <v>0.81799999999999995</v>
          </cell>
          <cell r="AB211">
            <v>2838.2641939357568</v>
          </cell>
          <cell r="AC211">
            <v>25.948381261595543</v>
          </cell>
          <cell r="AD211">
            <v>3.1227443667443668</v>
          </cell>
          <cell r="AE211">
            <v>29.07112562833991</v>
          </cell>
          <cell r="AF211">
            <v>6.6619404063039758</v>
          </cell>
          <cell r="AG211">
            <v>112.86165955473119</v>
          </cell>
          <cell r="AH211">
            <v>0</v>
          </cell>
          <cell r="AI211">
            <v>0</v>
          </cell>
          <cell r="AJ211">
            <v>7.0000000000000007E-2</v>
          </cell>
          <cell r="AK211">
            <v>490.38958620373467</v>
          </cell>
          <cell r="AL211">
            <v>6947</v>
          </cell>
          <cell r="AM211">
            <v>181.81818181818184</v>
          </cell>
          <cell r="AN211">
            <v>548.94000000000005</v>
          </cell>
        </row>
        <row r="212">
          <cell r="A212">
            <v>152</v>
          </cell>
          <cell r="B212" t="str">
            <v>TÉCNICO ESPECIALIZADO</v>
          </cell>
          <cell r="C212">
            <v>44</v>
          </cell>
          <cell r="D212">
            <v>220</v>
          </cell>
          <cell r="E212" t="str">
            <v>DIARISTA DIURNO</v>
          </cell>
          <cell r="F212" t="str">
            <v>TÉCNICO ESPECIALIZADO - DIARISTA DIURNO - 44H</v>
          </cell>
          <cell r="G212">
            <v>220</v>
          </cell>
          <cell r="L212">
            <v>8</v>
          </cell>
          <cell r="M212">
            <v>22</v>
          </cell>
          <cell r="N212">
            <v>24</v>
          </cell>
          <cell r="O212">
            <v>6</v>
          </cell>
          <cell r="R212">
            <v>3816.7366911116533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3816.7366911116533</v>
          </cell>
          <cell r="AA212">
            <v>0.81799999999999995</v>
          </cell>
          <cell r="AB212">
            <v>3122.090613329332</v>
          </cell>
          <cell r="AC212">
            <v>25.948381261595543</v>
          </cell>
          <cell r="AD212">
            <v>3.1227443667443668</v>
          </cell>
          <cell r="AE212">
            <v>29.07112562833991</v>
          </cell>
          <cell r="AF212">
            <v>7.3281344469343734</v>
          </cell>
          <cell r="AG212">
            <v>103.42749081632675</v>
          </cell>
          <cell r="AH212">
            <v>0</v>
          </cell>
          <cell r="AI212">
            <v>0</v>
          </cell>
          <cell r="AJ212">
            <v>7.0000000000000007E-2</v>
          </cell>
          <cell r="AK212">
            <v>533.93200173042396</v>
          </cell>
          <cell r="AL212">
            <v>7612.58</v>
          </cell>
          <cell r="AM212">
            <v>200.00000000000003</v>
          </cell>
          <cell r="AN212">
            <v>548.94000000000005</v>
          </cell>
        </row>
        <row r="213">
          <cell r="A213">
            <v>142</v>
          </cell>
          <cell r="B213" t="str">
            <v>TÉCNICO HIDROMETRISTA</v>
          </cell>
          <cell r="C213">
            <v>40</v>
          </cell>
          <cell r="D213">
            <v>200</v>
          </cell>
          <cell r="E213" t="str">
            <v>DIARISTA DIURNO</v>
          </cell>
          <cell r="F213" t="str">
            <v>TÉCNICO HIDROMETRISTA - DIARISTA DIURNO - 40H</v>
          </cell>
          <cell r="G213">
            <v>200</v>
          </cell>
          <cell r="L213">
            <v>8</v>
          </cell>
          <cell r="M213">
            <v>22</v>
          </cell>
          <cell r="N213">
            <v>24</v>
          </cell>
          <cell r="O213">
            <v>6</v>
          </cell>
          <cell r="R213">
            <v>2770.4684999999999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2770.4684999999999</v>
          </cell>
          <cell r="AA213">
            <v>0.81799999999999995</v>
          </cell>
          <cell r="AB213">
            <v>2266.2432329999997</v>
          </cell>
          <cell r="AC213">
            <v>20.923636363636362</v>
          </cell>
          <cell r="AD213">
            <v>79.812727272727273</v>
          </cell>
          <cell r="AE213">
            <v>100.73636363636363</v>
          </cell>
          <cell r="AF213">
            <v>5.3192995199999995</v>
          </cell>
          <cell r="AG213">
            <v>36.257575757575765</v>
          </cell>
          <cell r="AH213">
            <v>0</v>
          </cell>
          <cell r="AI213">
            <v>0</v>
          </cell>
          <cell r="AJ213">
            <v>7.0000000000000007E-2</v>
          </cell>
          <cell r="AK213">
            <v>401.14234803397579</v>
          </cell>
          <cell r="AL213">
            <v>5580.16</v>
          </cell>
          <cell r="AM213">
            <v>181.81818181818184</v>
          </cell>
          <cell r="AN213">
            <v>551.58000000000004</v>
          </cell>
        </row>
        <row r="214">
          <cell r="A214">
            <v>378</v>
          </cell>
          <cell r="B214" t="str">
            <v>TELEDIGIFONISTA</v>
          </cell>
          <cell r="C214">
            <v>36</v>
          </cell>
          <cell r="D214">
            <v>180</v>
          </cell>
          <cell r="E214" t="str">
            <v>ESCALA DIURNA</v>
          </cell>
          <cell r="F214" t="str">
            <v>TELEDIGIFONISTA (EXCLUSIVO SEJUSP) - ESCALA DIURNA - 36H</v>
          </cell>
          <cell r="G214">
            <v>180</v>
          </cell>
          <cell r="H214" t="str">
            <v>(EXCLUSIVO SEJUSP)</v>
          </cell>
          <cell r="K214" t="str">
            <v>x</v>
          </cell>
          <cell r="L214">
            <v>6</v>
          </cell>
          <cell r="M214">
            <v>26</v>
          </cell>
          <cell r="N214">
            <v>24</v>
          </cell>
          <cell r="O214">
            <v>6</v>
          </cell>
          <cell r="R214">
            <v>2887.526593443788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130.33974206517098</v>
          </cell>
          <cell r="Y214">
            <v>0</v>
          </cell>
          <cell r="Z214">
            <v>3017.8663355089589</v>
          </cell>
          <cell r="AA214">
            <v>0.81799999999999995</v>
          </cell>
          <cell r="AB214">
            <v>2468.6146624463281</v>
          </cell>
          <cell r="AC214">
            <v>44.339166666666664</v>
          </cell>
          <cell r="AD214">
            <v>0</v>
          </cell>
          <cell r="AE214">
            <v>44.339166666666664</v>
          </cell>
          <cell r="AF214">
            <v>5.5440510594120722</v>
          </cell>
          <cell r="AG214">
            <v>304.74493581346485</v>
          </cell>
          <cell r="AH214">
            <v>0</v>
          </cell>
          <cell r="AI214">
            <v>0</v>
          </cell>
          <cell r="AJ214">
            <v>7.0000000000000007E-2</v>
          </cell>
          <cell r="AK214">
            <v>451.79744060463844</v>
          </cell>
          <cell r="AL214">
            <v>6292.9</v>
          </cell>
          <cell r="AM214">
            <v>163.63636363636365</v>
          </cell>
          <cell r="AN214">
            <v>724.62</v>
          </cell>
        </row>
        <row r="215">
          <cell r="A215">
            <v>379</v>
          </cell>
          <cell r="B215" t="str">
            <v>TELEDIGIFONISTA</v>
          </cell>
          <cell r="C215">
            <v>30</v>
          </cell>
          <cell r="D215">
            <v>150</v>
          </cell>
          <cell r="E215" t="str">
            <v>ESCALA NOTURNA</v>
          </cell>
          <cell r="F215" t="str">
            <v>TELEDIGIFONISTA (EXCLUSIVO SEJUSP) (0H ÀS 6H) - ESCALA NOTURNA - 30H</v>
          </cell>
          <cell r="G215">
            <v>150</v>
          </cell>
          <cell r="H215" t="str">
            <v>(EXCLUSIVO SEJUSP) (0H ÀS 6H)</v>
          </cell>
          <cell r="K215" t="str">
            <v>x</v>
          </cell>
          <cell r="L215">
            <v>6</v>
          </cell>
          <cell r="M215">
            <v>26</v>
          </cell>
          <cell r="N215">
            <v>24</v>
          </cell>
          <cell r="O215">
            <v>6</v>
          </cell>
          <cell r="P215">
            <v>5</v>
          </cell>
          <cell r="Q215">
            <v>1</v>
          </cell>
          <cell r="R215">
            <v>2406.2721612031564</v>
          </cell>
          <cell r="S215">
            <v>0</v>
          </cell>
          <cell r="T215">
            <v>957.59923294361261</v>
          </cell>
          <cell r="U215">
            <v>14.632044750618761</v>
          </cell>
          <cell r="V215">
            <v>78.385930505385716</v>
          </cell>
          <cell r="W215">
            <v>0</v>
          </cell>
          <cell r="X215">
            <v>130.33974206517098</v>
          </cell>
          <cell r="Y215">
            <v>0</v>
          </cell>
          <cell r="Z215">
            <v>3587.2291114679442</v>
          </cell>
          <cell r="AA215">
            <v>0.81799999999999995</v>
          </cell>
          <cell r="AB215">
            <v>2934.3534131807783</v>
          </cell>
          <cell r="AC215">
            <v>44.339166666666664</v>
          </cell>
          <cell r="AD215">
            <v>0</v>
          </cell>
          <cell r="AE215">
            <v>44.339166666666664</v>
          </cell>
          <cell r="AF215">
            <v>4.6200425495100603</v>
          </cell>
          <cell r="AG215">
            <v>327.51924286088433</v>
          </cell>
          <cell r="AH215">
            <v>0</v>
          </cell>
          <cell r="AI215">
            <v>0</v>
          </cell>
          <cell r="AJ215">
            <v>7.0000000000000007E-2</v>
          </cell>
          <cell r="AK215">
            <v>525.78406837080524</v>
          </cell>
          <cell r="AL215">
            <v>7423.84</v>
          </cell>
          <cell r="AM215">
            <v>136.36363636363637</v>
          </cell>
          <cell r="AN215">
            <v>724.62</v>
          </cell>
        </row>
        <row r="216">
          <cell r="A216">
            <v>1360</v>
          </cell>
          <cell r="B216" t="str">
            <v>TELEDIGIFONISTA</v>
          </cell>
          <cell r="C216">
            <v>30</v>
          </cell>
          <cell r="D216">
            <v>150</v>
          </cell>
          <cell r="E216" t="str">
            <v>DIARISTA NOTURNO</v>
          </cell>
          <cell r="F216" t="str">
            <v>TELEDIGIFONISTA (EXCLUSIVO SEJUSP) (22H ÀS 4H) - DIARISTA NOTURNO - 30H</v>
          </cell>
          <cell r="G216">
            <v>150</v>
          </cell>
          <cell r="H216" t="str">
            <v>(EXCLUSIVO SEJUSP) (22H ÀS 4H)</v>
          </cell>
          <cell r="L216">
            <v>6</v>
          </cell>
          <cell r="M216">
            <v>26</v>
          </cell>
          <cell r="N216">
            <v>24</v>
          </cell>
          <cell r="O216">
            <v>6</v>
          </cell>
          <cell r="P216">
            <v>6</v>
          </cell>
          <cell r="R216">
            <v>2406.2721612031564</v>
          </cell>
          <cell r="S216">
            <v>0</v>
          </cell>
          <cell r="T216">
            <v>1149.1190795323353</v>
          </cell>
          <cell r="U216">
            <v>0</v>
          </cell>
          <cell r="V216">
            <v>94.063116606462856</v>
          </cell>
          <cell r="W216">
            <v>0</v>
          </cell>
          <cell r="X216">
            <v>0</v>
          </cell>
          <cell r="Y216">
            <v>0</v>
          </cell>
          <cell r="Z216">
            <v>3649.4543573419546</v>
          </cell>
          <cell r="AA216">
            <v>0.81799999999999995</v>
          </cell>
          <cell r="AB216">
            <v>2985.2536643057188</v>
          </cell>
          <cell r="AC216">
            <v>44.339166666666664</v>
          </cell>
          <cell r="AD216">
            <v>0</v>
          </cell>
          <cell r="AE216">
            <v>44.339166666666664</v>
          </cell>
          <cell r="AF216">
            <v>4.6200425495100603</v>
          </cell>
          <cell r="AG216">
            <v>327.51924286088433</v>
          </cell>
          <cell r="AH216">
            <v>0</v>
          </cell>
          <cell r="AI216">
            <v>0</v>
          </cell>
          <cell r="AJ216">
            <v>7.0000000000000007E-2</v>
          </cell>
          <cell r="AK216">
            <v>533.70285316073182</v>
          </cell>
          <cell r="AL216">
            <v>7544.88</v>
          </cell>
          <cell r="AM216">
            <v>136.36363636363637</v>
          </cell>
          <cell r="AN216">
            <v>724.62</v>
          </cell>
        </row>
        <row r="217">
          <cell r="A217">
            <v>44</v>
          </cell>
          <cell r="B217" t="str">
            <v>TELEDIGIFONISTA</v>
          </cell>
          <cell r="C217">
            <v>30</v>
          </cell>
          <cell r="D217">
            <v>150</v>
          </cell>
          <cell r="E217" t="str">
            <v>DIARISTA DIURNO</v>
          </cell>
          <cell r="F217" t="str">
            <v>TELEDIGIFONISTA - DIARISTA DIURNO - 30H</v>
          </cell>
          <cell r="G217">
            <v>150</v>
          </cell>
          <cell r="L217">
            <v>6</v>
          </cell>
          <cell r="M217">
            <v>26</v>
          </cell>
          <cell r="N217">
            <v>24</v>
          </cell>
          <cell r="O217">
            <v>6</v>
          </cell>
          <cell r="R217">
            <v>2406.2721612031564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2406.2721612031564</v>
          </cell>
          <cell r="AA217">
            <v>0.81799999999999995</v>
          </cell>
          <cell r="AB217">
            <v>1968.3306278641819</v>
          </cell>
          <cell r="AC217">
            <v>44.339166666666664</v>
          </cell>
          <cell r="AD217">
            <v>0</v>
          </cell>
          <cell r="AE217">
            <v>44.339166666666664</v>
          </cell>
          <cell r="AF217">
            <v>4.6200425495100603</v>
          </cell>
          <cell r="AG217">
            <v>327.51924286088433</v>
          </cell>
          <cell r="AH217">
            <v>3.2986851836493587E-2</v>
          </cell>
          <cell r="AI217">
            <v>176.94877129980219</v>
          </cell>
          <cell r="AJ217">
            <v>7.0000000000000007E-2</v>
          </cell>
          <cell r="AK217">
            <v>387.8819008710945</v>
          </cell>
          <cell r="AL217">
            <v>5315.91</v>
          </cell>
          <cell r="AM217">
            <v>136.36363636363637</v>
          </cell>
          <cell r="AN217">
            <v>724.62</v>
          </cell>
        </row>
        <row r="218">
          <cell r="A218">
            <v>43</v>
          </cell>
          <cell r="B218" t="str">
            <v>TELEDIGIFONISTA</v>
          </cell>
          <cell r="C218">
            <v>36</v>
          </cell>
          <cell r="D218">
            <v>180</v>
          </cell>
          <cell r="E218" t="str">
            <v>ESCALA DIURNA</v>
          </cell>
          <cell r="F218" t="str">
            <v>TELEDIGIFONISTA - ESCALA DIURNA - 36H</v>
          </cell>
          <cell r="G218">
            <v>180</v>
          </cell>
          <cell r="K218" t="str">
            <v>x</v>
          </cell>
          <cell r="L218">
            <v>6</v>
          </cell>
          <cell r="M218">
            <v>26</v>
          </cell>
          <cell r="N218">
            <v>24</v>
          </cell>
          <cell r="O218">
            <v>6</v>
          </cell>
          <cell r="R218">
            <v>2887.526593443788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130.33974206517098</v>
          </cell>
          <cell r="Y218">
            <v>0</v>
          </cell>
          <cell r="Z218">
            <v>3017.8663355089589</v>
          </cell>
          <cell r="AA218">
            <v>0.81799999999999995</v>
          </cell>
          <cell r="AB218">
            <v>2468.6146624463281</v>
          </cell>
          <cell r="AC218">
            <v>44.339166666666664</v>
          </cell>
          <cell r="AD218">
            <v>0</v>
          </cell>
          <cell r="AE218">
            <v>44.339166666666664</v>
          </cell>
          <cell r="AF218">
            <v>5.5440510594120722</v>
          </cell>
          <cell r="AG218">
            <v>304.74493581346485</v>
          </cell>
          <cell r="AH218">
            <v>3.2986851836493587E-2</v>
          </cell>
          <cell r="AI218">
            <v>212.90536047617454</v>
          </cell>
          <cell r="AJ218">
            <v>7.0000000000000007E-2</v>
          </cell>
          <cell r="AK218">
            <v>466.70081583797065</v>
          </cell>
          <cell r="AL218">
            <v>6520.71</v>
          </cell>
          <cell r="AM218">
            <v>163.63636363636365</v>
          </cell>
          <cell r="AN218">
            <v>724.62</v>
          </cell>
        </row>
        <row r="219">
          <cell r="A219">
            <v>380</v>
          </cell>
          <cell r="B219" t="str">
            <v>TELEDIGIFONISTA</v>
          </cell>
          <cell r="C219">
            <v>36</v>
          </cell>
          <cell r="D219">
            <v>180</v>
          </cell>
          <cell r="E219" t="str">
            <v>ESCALA NOTURNA</v>
          </cell>
          <cell r="F219" t="str">
            <v>TELEDIGIFONISTA (EXCLUSIVO SEJUSP) (18H ÀS 0H) - ESCALA NOTURNA - 36H</v>
          </cell>
          <cell r="G219">
            <v>180</v>
          </cell>
          <cell r="H219" t="str">
            <v>(EXCLUSIVO SEJUSP) (18H ÀS 0H)</v>
          </cell>
          <cell r="K219" t="str">
            <v>x</v>
          </cell>
          <cell r="L219">
            <v>6</v>
          </cell>
          <cell r="M219">
            <v>26</v>
          </cell>
          <cell r="N219">
            <v>24</v>
          </cell>
          <cell r="O219">
            <v>6</v>
          </cell>
          <cell r="P219">
            <v>2</v>
          </cell>
          <cell r="R219">
            <v>2887.526593443788</v>
          </cell>
          <cell r="S219">
            <v>0</v>
          </cell>
          <cell r="T219">
            <v>383.03969317744509</v>
          </cell>
          <cell r="U219">
            <v>0</v>
          </cell>
          <cell r="V219">
            <v>31.354372202154288</v>
          </cell>
          <cell r="W219">
            <v>0</v>
          </cell>
          <cell r="X219">
            <v>130.33974206517098</v>
          </cell>
          <cell r="Y219">
            <v>0</v>
          </cell>
          <cell r="Z219">
            <v>3432.2604008885583</v>
          </cell>
          <cell r="AA219">
            <v>0.81799999999999995</v>
          </cell>
          <cell r="AB219">
            <v>2807.5890079268406</v>
          </cell>
          <cell r="AC219">
            <v>44.339166666666664</v>
          </cell>
          <cell r="AD219">
            <v>0</v>
          </cell>
          <cell r="AE219">
            <v>44.339166666666664</v>
          </cell>
          <cell r="AF219">
            <v>5.5440510594120722</v>
          </cell>
          <cell r="AG219">
            <v>304.74493581346485</v>
          </cell>
          <cell r="AH219">
            <v>0</v>
          </cell>
          <cell r="AI219">
            <v>0</v>
          </cell>
          <cell r="AJ219">
            <v>7.0000000000000007E-2</v>
          </cell>
          <cell r="AK219">
            <v>504.53322936484625</v>
          </cell>
          <cell r="AL219">
            <v>7099.01</v>
          </cell>
          <cell r="AM219">
            <v>163.63636363636365</v>
          </cell>
          <cell r="AN219">
            <v>724.62</v>
          </cell>
        </row>
        <row r="220">
          <cell r="A220">
            <v>29</v>
          </cell>
          <cell r="B220" t="str">
            <v>TELEFONISTA</v>
          </cell>
          <cell r="C220">
            <v>30</v>
          </cell>
          <cell r="D220">
            <v>150</v>
          </cell>
          <cell r="E220" t="str">
            <v>DIARISTA DIURNO</v>
          </cell>
          <cell r="F220" t="str">
            <v>TELEFONISTA - DIARISTA DIURNO - 30H</v>
          </cell>
          <cell r="G220">
            <v>150</v>
          </cell>
          <cell r="L220">
            <v>6</v>
          </cell>
          <cell r="M220">
            <v>22</v>
          </cell>
          <cell r="N220">
            <v>24</v>
          </cell>
          <cell r="O220">
            <v>6</v>
          </cell>
          <cell r="R220">
            <v>2398.5046500684907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2398.5046500684907</v>
          </cell>
          <cell r="AA220">
            <v>0.81799999999999995</v>
          </cell>
          <cell r="AB220">
            <v>1961.9768037560252</v>
          </cell>
          <cell r="AC220">
            <v>44.339166666666664</v>
          </cell>
          <cell r="AD220">
            <v>0</v>
          </cell>
          <cell r="AE220">
            <v>44.339166666666664</v>
          </cell>
          <cell r="AF220">
            <v>4.605128928131502</v>
          </cell>
          <cell r="AG220">
            <v>204.37744084682441</v>
          </cell>
          <cell r="AH220">
            <v>3.2573876101994526E-2</v>
          </cell>
          <cell r="AI220">
            <v>170.26179987189315</v>
          </cell>
          <cell r="AJ220">
            <v>7.0000000000000007E-2</v>
          </cell>
          <cell r="AK220">
            <v>377.8043493096622</v>
          </cell>
          <cell r="AL220">
            <v>5161.8599999999997</v>
          </cell>
          <cell r="AM220">
            <v>136.36363636363637</v>
          </cell>
          <cell r="AN220">
            <v>613.14</v>
          </cell>
        </row>
        <row r="221">
          <cell r="A221">
            <v>28</v>
          </cell>
          <cell r="B221" t="str">
            <v>TELEFONISTA</v>
          </cell>
          <cell r="C221">
            <v>36</v>
          </cell>
          <cell r="D221">
            <v>180</v>
          </cell>
          <cell r="E221" t="str">
            <v>DIARISTA DIURNO</v>
          </cell>
          <cell r="F221" t="str">
            <v>TELEFONISTA - DIARISTA DIURNO - 36H</v>
          </cell>
          <cell r="G221">
            <v>180</v>
          </cell>
          <cell r="L221">
            <v>6</v>
          </cell>
          <cell r="M221">
            <v>26</v>
          </cell>
          <cell r="N221">
            <v>24</v>
          </cell>
          <cell r="O221">
            <v>6</v>
          </cell>
          <cell r="R221">
            <v>2878.205580082189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2878.205580082189</v>
          </cell>
          <cell r="AA221">
            <v>0.81799999999999995</v>
          </cell>
          <cell r="AB221">
            <v>2354.3721645072305</v>
          </cell>
          <cell r="AC221">
            <v>44.339166666666664</v>
          </cell>
          <cell r="AD221">
            <v>0</v>
          </cell>
          <cell r="AE221">
            <v>44.339166666666664</v>
          </cell>
          <cell r="AF221">
            <v>5.5261547137578022</v>
          </cell>
          <cell r="AG221">
            <v>183.81386052303858</v>
          </cell>
          <cell r="AH221">
            <v>3.2573876101994526E-2</v>
          </cell>
          <cell r="AI221">
            <v>198.02952225842549</v>
          </cell>
          <cell r="AJ221">
            <v>7.0000000000000007E-2</v>
          </cell>
          <cell r="AK221">
            <v>439.41985141259164</v>
          </cell>
          <cell r="AL221">
            <v>6103.7</v>
          </cell>
          <cell r="AM221">
            <v>163.63636363636365</v>
          </cell>
          <cell r="AN221">
            <v>724.62</v>
          </cell>
        </row>
        <row r="222">
          <cell r="A222">
            <v>1909</v>
          </cell>
          <cell r="B222" t="str">
            <v>TRABALHADOR AGRÍCOLA</v>
          </cell>
          <cell r="C222">
            <v>40</v>
          </cell>
          <cell r="D222">
            <v>200</v>
          </cell>
          <cell r="E222" t="str">
            <v>DIARISTA DIURNO</v>
          </cell>
          <cell r="F222" t="str">
            <v>TRABALHADOR AGRÍCOLA - (PERIC.) - DIARISTA DIURNO - 40H</v>
          </cell>
          <cell r="G222">
            <v>200</v>
          </cell>
          <cell r="I222" t="str">
            <v>X</v>
          </cell>
          <cell r="L222">
            <v>8</v>
          </cell>
          <cell r="M222">
            <v>22</v>
          </cell>
          <cell r="N222">
            <v>24</v>
          </cell>
          <cell r="O222">
            <v>6</v>
          </cell>
          <cell r="R222">
            <v>2239.0658636363642</v>
          </cell>
          <cell r="S222">
            <v>671.71975909090918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2910.7856227272732</v>
          </cell>
          <cell r="AA222">
            <v>0.81799999999999995</v>
          </cell>
          <cell r="AB222">
            <v>2381.0226393909093</v>
          </cell>
          <cell r="AC222">
            <v>31.89</v>
          </cell>
          <cell r="AD222">
            <v>75.36969696969696</v>
          </cell>
          <cell r="AE222">
            <v>107.25969696969696</v>
          </cell>
          <cell r="AF222">
            <v>4.299006458181819</v>
          </cell>
          <cell r="AG222">
            <v>69.822727272727278</v>
          </cell>
          <cell r="AH222">
            <v>0</v>
          </cell>
          <cell r="AI222">
            <v>0</v>
          </cell>
          <cell r="AJ222">
            <v>7.0000000000000007E-2</v>
          </cell>
          <cell r="AK222">
            <v>421.73387849731517</v>
          </cell>
          <cell r="AL222">
            <v>5894.92</v>
          </cell>
          <cell r="AM222">
            <v>181.81818181818184</v>
          </cell>
          <cell r="AN222">
            <v>551.58000000000004</v>
          </cell>
        </row>
        <row r="223">
          <cell r="A223">
            <v>1910</v>
          </cell>
          <cell r="B223" t="str">
            <v>TRABALHADOR AGRÍCOLA</v>
          </cell>
          <cell r="C223">
            <v>40</v>
          </cell>
          <cell r="D223">
            <v>200</v>
          </cell>
          <cell r="E223" t="str">
            <v>DIARISTA DIURNO</v>
          </cell>
          <cell r="F223" t="str">
            <v>TRABALHADOR AGRÍCOLA - DIARISTA DIURNO - 40H</v>
          </cell>
          <cell r="G223">
            <v>200</v>
          </cell>
          <cell r="L223">
            <v>8</v>
          </cell>
          <cell r="M223">
            <v>22</v>
          </cell>
          <cell r="N223">
            <v>24</v>
          </cell>
          <cell r="O223">
            <v>6</v>
          </cell>
          <cell r="R223">
            <v>2239.0658636363642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2239.0658636363642</v>
          </cell>
          <cell r="AA223">
            <v>0.81799999999999995</v>
          </cell>
          <cell r="AB223">
            <v>1831.5558764545458</v>
          </cell>
          <cell r="AC223">
            <v>31.89</v>
          </cell>
          <cell r="AD223">
            <v>75.36969696969696</v>
          </cell>
          <cell r="AE223">
            <v>107.25969696969696</v>
          </cell>
          <cell r="AF223">
            <v>4.299006458181819</v>
          </cell>
          <cell r="AG223">
            <v>69.822727272727278</v>
          </cell>
          <cell r="AH223">
            <v>0</v>
          </cell>
          <cell r="AI223">
            <v>0</v>
          </cell>
          <cell r="AJ223">
            <v>7.0000000000000007E-2</v>
          </cell>
          <cell r="AK223">
            <v>336.25082195540614</v>
          </cell>
          <cell r="AL223">
            <v>4588.25</v>
          </cell>
          <cell r="AM223">
            <v>181.81818181818184</v>
          </cell>
          <cell r="AN223">
            <v>551.58000000000004</v>
          </cell>
        </row>
        <row r="224">
          <cell r="A224">
            <v>1199</v>
          </cell>
          <cell r="B224" t="str">
            <v>TRABALHADOR AGRÍCOLA</v>
          </cell>
          <cell r="C224">
            <v>44</v>
          </cell>
          <cell r="D224">
            <v>220</v>
          </cell>
          <cell r="E224" t="str">
            <v>DIARISTA DIURNO</v>
          </cell>
          <cell r="F224" t="str">
            <v>TRABALHADOR AGRÍCOLA - DIARISTA DIURNO - 44H</v>
          </cell>
          <cell r="G224">
            <v>220</v>
          </cell>
          <cell r="L224">
            <v>8</v>
          </cell>
          <cell r="M224">
            <v>22</v>
          </cell>
          <cell r="N224">
            <v>24</v>
          </cell>
          <cell r="O224">
            <v>6</v>
          </cell>
          <cell r="R224">
            <v>2462.9724500000002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2462.9724500000002</v>
          </cell>
          <cell r="AA224">
            <v>0.81799999999999995</v>
          </cell>
          <cell r="AB224">
            <v>2014.7114641000001</v>
          </cell>
          <cell r="AC224">
            <v>31.89</v>
          </cell>
          <cell r="AD224">
            <v>75.36969696969696</v>
          </cell>
          <cell r="AE224">
            <v>107.25969696969696</v>
          </cell>
          <cell r="AF224">
            <v>4.7289071040000001</v>
          </cell>
          <cell r="AG224">
            <v>63.055000000000007</v>
          </cell>
          <cell r="AH224">
            <v>0</v>
          </cell>
          <cell r="AI224">
            <v>0</v>
          </cell>
          <cell r="AJ224">
            <v>7.0000000000000007E-2</v>
          </cell>
          <cell r="AK224">
            <v>364.30152627215887</v>
          </cell>
          <cell r="AL224">
            <v>5017.0200000000004</v>
          </cell>
          <cell r="AM224">
            <v>200.00000000000003</v>
          </cell>
          <cell r="AN224">
            <v>551.58000000000004</v>
          </cell>
        </row>
        <row r="225">
          <cell r="A225">
            <v>322</v>
          </cell>
          <cell r="B225" t="str">
            <v>TRABALHADOR DA IMPRESSÃO GRÁFICA</v>
          </cell>
          <cell r="C225">
            <v>40</v>
          </cell>
          <cell r="D225">
            <v>200</v>
          </cell>
          <cell r="E225" t="str">
            <v>DIARISTA DIURNO</v>
          </cell>
          <cell r="F225" t="str">
            <v>TRABALHADOR DA IMPRESSÃO GRÁFICA - DIARISTA DIURNO - 40H</v>
          </cell>
          <cell r="G225">
            <v>200</v>
          </cell>
          <cell r="L225">
            <v>8</v>
          </cell>
          <cell r="M225">
            <v>22</v>
          </cell>
          <cell r="N225">
            <v>24</v>
          </cell>
          <cell r="O225">
            <v>6</v>
          </cell>
          <cell r="R225">
            <v>2206.6632500000001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2206.6632500000001</v>
          </cell>
          <cell r="AA225">
            <v>0.81799999999999995</v>
          </cell>
          <cell r="AB225">
            <v>1805.0505384999999</v>
          </cell>
          <cell r="AC225">
            <v>19.18</v>
          </cell>
          <cell r="AD225">
            <v>41.902727272727276</v>
          </cell>
          <cell r="AE225">
            <v>61.082727272727276</v>
          </cell>
          <cell r="AF225">
            <v>4.2367934399999996</v>
          </cell>
          <cell r="AG225">
            <v>633.19999999999993</v>
          </cell>
          <cell r="AH225">
            <v>3.3024069406728827E-2</v>
          </cell>
          <cell r="AI225">
            <v>173.76648792869059</v>
          </cell>
          <cell r="AJ225">
            <v>7.0000000000000007E-2</v>
          </cell>
          <cell r="AK225">
            <v>380.49058579989929</v>
          </cell>
          <cell r="AL225">
            <v>5264.49</v>
          </cell>
          <cell r="AM225">
            <v>181.81818181818184</v>
          </cell>
          <cell r="AN225">
            <v>551.58000000000004</v>
          </cell>
        </row>
        <row r="226">
          <cell r="A226">
            <v>126</v>
          </cell>
          <cell r="B226" t="str">
            <v>TRABALHADOR DA MANUTENÇÃO PREDIAL E INSTALAÇÕES</v>
          </cell>
          <cell r="C226">
            <v>44</v>
          </cell>
          <cell r="D226">
            <v>210</v>
          </cell>
          <cell r="E226" t="str">
            <v>12x36 DIURNO</v>
          </cell>
          <cell r="F226" t="str">
            <v>TRABALHADOR DA MANUTENÇÃO PREDIAL E INSTALAÇÕES - 12x36 DIURNO - 44H</v>
          </cell>
          <cell r="G226">
            <v>210</v>
          </cell>
          <cell r="L226">
            <v>12</v>
          </cell>
          <cell r="M226">
            <v>15.22</v>
          </cell>
          <cell r="N226">
            <v>24</v>
          </cell>
          <cell r="O226">
            <v>6</v>
          </cell>
          <cell r="R226">
            <v>2754.2495376098846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3.8253465800137287</v>
          </cell>
          <cell r="Z226">
            <v>2758.0748841898981</v>
          </cell>
          <cell r="AA226">
            <v>0.81799999999999995</v>
          </cell>
          <cell r="AB226">
            <v>2256.1052552673364</v>
          </cell>
          <cell r="AC226">
            <v>19.18</v>
          </cell>
          <cell r="AD226">
            <v>52.615447885447871</v>
          </cell>
          <cell r="AE226">
            <v>71.795447885447871</v>
          </cell>
          <cell r="AF226">
            <v>5.2881591122109777</v>
          </cell>
          <cell r="AG226">
            <v>201.79439560439556</v>
          </cell>
          <cell r="AH226">
            <v>3.2904213048597905E-2</v>
          </cell>
          <cell r="AI226">
            <v>192.23322522209634</v>
          </cell>
          <cell r="AJ226">
            <v>7.0000000000000007E-2</v>
          </cell>
          <cell r="AK226">
            <v>422.41081878662021</v>
          </cell>
          <cell r="AL226">
            <v>5907.7</v>
          </cell>
          <cell r="AM226">
            <v>200.00000000000003</v>
          </cell>
          <cell r="AN226">
            <v>549.14</v>
          </cell>
        </row>
        <row r="227">
          <cell r="A227">
            <v>129</v>
          </cell>
          <cell r="B227" t="str">
            <v>TRABALHADOR DA MANUTENÇÃO PREDIAL E INSTALAÇÕES</v>
          </cell>
          <cell r="C227">
            <v>44</v>
          </cell>
          <cell r="D227">
            <v>210</v>
          </cell>
          <cell r="E227" t="str">
            <v>12x36 DIURNO</v>
          </cell>
          <cell r="F227" t="str">
            <v>TRABALHADOR DA MANUTENÇÃO PREDIAL E INSTALAÇÕES - (PERIC.) - 12x36 DIURNO - 44H</v>
          </cell>
          <cell r="G227">
            <v>210</v>
          </cell>
          <cell r="I227" t="str">
            <v>X</v>
          </cell>
          <cell r="L227">
            <v>12</v>
          </cell>
          <cell r="M227">
            <v>15.22</v>
          </cell>
          <cell r="N227">
            <v>24</v>
          </cell>
          <cell r="O227">
            <v>6</v>
          </cell>
          <cell r="R227">
            <v>2754.2495376098846</v>
          </cell>
          <cell r="S227">
            <v>826.27486128296539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4.9729505540178476</v>
          </cell>
          <cell r="Z227">
            <v>3585.4973494468677</v>
          </cell>
          <cell r="AA227">
            <v>0.81799999999999995</v>
          </cell>
          <cell r="AB227">
            <v>2932.9368318475376</v>
          </cell>
          <cell r="AC227">
            <v>19.18</v>
          </cell>
          <cell r="AD227">
            <v>52.615447885447871</v>
          </cell>
          <cell r="AE227">
            <v>71.795447885447871</v>
          </cell>
          <cell r="AF227">
            <v>5.2881591122109777</v>
          </cell>
          <cell r="AG227">
            <v>201.79439560439556</v>
          </cell>
          <cell r="AH227">
            <v>3.2904213048597905E-2</v>
          </cell>
          <cell r="AI227">
            <v>241.72952069392116</v>
          </cell>
          <cell r="AJ227">
            <v>7.0000000000000007E-2</v>
          </cell>
          <cell r="AK227">
            <v>531.17334239825004</v>
          </cell>
          <cell r="AL227">
            <v>7570.21</v>
          </cell>
          <cell r="AM227">
            <v>200.00000000000003</v>
          </cell>
          <cell r="AN227">
            <v>549.14</v>
          </cell>
        </row>
        <row r="228">
          <cell r="A228">
            <v>131</v>
          </cell>
          <cell r="B228" t="str">
            <v>TRABALHADOR DA MANUTENÇÃO PREDIAL E INSTALAÇÕES</v>
          </cell>
          <cell r="C228">
            <v>44</v>
          </cell>
          <cell r="D228">
            <v>210</v>
          </cell>
          <cell r="E228" t="str">
            <v>12x36 NOTURNO</v>
          </cell>
          <cell r="F228" t="str">
            <v>TRABALHADOR DA MANUTENÇÃO PREDIAL E INSTALAÇÕES - (PERIC.) - 12x36 NOTURNO - 44H</v>
          </cell>
          <cell r="G228">
            <v>210</v>
          </cell>
          <cell r="I228" t="str">
            <v>X</v>
          </cell>
          <cell r="L228">
            <v>12</v>
          </cell>
          <cell r="M228">
            <v>15.22</v>
          </cell>
          <cell r="N228">
            <v>24</v>
          </cell>
          <cell r="O228">
            <v>6</v>
          </cell>
          <cell r="P228">
            <v>7</v>
          </cell>
          <cell r="Q228">
            <v>2</v>
          </cell>
          <cell r="R228">
            <v>2754.2495376098846</v>
          </cell>
          <cell r="S228">
            <v>826.27486128296539</v>
          </cell>
          <cell r="T228">
            <v>834.11702361189953</v>
          </cell>
          <cell r="U228">
            <v>18.207494022354176</v>
          </cell>
          <cell r="V228">
            <v>68.27808210039737</v>
          </cell>
          <cell r="W228">
            <v>0</v>
          </cell>
          <cell r="X228">
            <v>0</v>
          </cell>
          <cell r="Y228">
            <v>4.9729505540178476</v>
          </cell>
          <cell r="Z228">
            <v>4506.0999491815182</v>
          </cell>
          <cell r="AA228">
            <v>0.81799999999999995</v>
          </cell>
          <cell r="AB228">
            <v>3685.9897584304817</v>
          </cell>
          <cell r="AC228">
            <v>19.18</v>
          </cell>
          <cell r="AD228">
            <v>52.615447885447871</v>
          </cell>
          <cell r="AE228">
            <v>71.795447885447871</v>
          </cell>
          <cell r="AF228">
            <v>5.2881591122109777</v>
          </cell>
          <cell r="AG228">
            <v>201.79439560439556</v>
          </cell>
          <cell r="AH228">
            <v>3.2904213048597905E-2</v>
          </cell>
          <cell r="AI228">
            <v>296.79983870183855</v>
          </cell>
          <cell r="AJ228">
            <v>7.0000000000000007E-2</v>
          </cell>
          <cell r="AK228">
            <v>652.18415150103579</v>
          </cell>
          <cell r="AL228">
            <v>9419.9500000000007</v>
          </cell>
          <cell r="AM228">
            <v>200.00000000000003</v>
          </cell>
          <cell r="AN228">
            <v>549.14</v>
          </cell>
        </row>
        <row r="229">
          <cell r="A229">
            <v>125</v>
          </cell>
          <cell r="B229" t="str">
            <v>TRABALHADOR DA MANUTENÇÃO PREDIAL E INSTALAÇÕES</v>
          </cell>
          <cell r="C229">
            <v>40</v>
          </cell>
          <cell r="D229">
            <v>200</v>
          </cell>
          <cell r="E229" t="str">
            <v>DIARISTA DIURNO</v>
          </cell>
          <cell r="F229" t="str">
            <v>TRABALHADOR DA MANUTENÇÃO PREDIAL E INSTALAÇÕES - DIARISTA DIURNO - 40H</v>
          </cell>
          <cell r="G229">
            <v>200</v>
          </cell>
          <cell r="L229">
            <v>8</v>
          </cell>
          <cell r="M229">
            <v>22</v>
          </cell>
          <cell r="N229">
            <v>24</v>
          </cell>
          <cell r="O229">
            <v>6</v>
          </cell>
          <cell r="R229">
            <v>2503.863216008986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2503.863216008986</v>
          </cell>
          <cell r="AA229">
            <v>0.81799999999999995</v>
          </cell>
          <cell r="AB229">
            <v>2048.1601106953503</v>
          </cell>
          <cell r="AC229">
            <v>19.18</v>
          </cell>
          <cell r="AD229">
            <v>52.615447885447871</v>
          </cell>
          <cell r="AE229">
            <v>71.795447885447871</v>
          </cell>
          <cell r="AF229">
            <v>4.8074173747372528</v>
          </cell>
          <cell r="AG229">
            <v>210.30305694305693</v>
          </cell>
          <cell r="AH229">
            <v>3.2904213048597905E-2</v>
          </cell>
          <cell r="AI229">
            <v>177.29047137030852</v>
          </cell>
          <cell r="AJ229">
            <v>7.0000000000000007E-2</v>
          </cell>
          <cell r="AK229">
            <v>389.57580349637533</v>
          </cell>
          <cell r="AL229">
            <v>5405.79</v>
          </cell>
          <cell r="AM229">
            <v>181.81818181818184</v>
          </cell>
          <cell r="AN229">
            <v>549.14</v>
          </cell>
        </row>
        <row r="230">
          <cell r="A230">
            <v>128</v>
          </cell>
          <cell r="B230" t="str">
            <v>TRABALHADOR DA MANUTENÇÃO PREDIAL E INSTALAÇÕES</v>
          </cell>
          <cell r="C230">
            <v>40</v>
          </cell>
          <cell r="D230">
            <v>200</v>
          </cell>
          <cell r="E230" t="str">
            <v>DIARISTA DIURNO</v>
          </cell>
          <cell r="F230" t="str">
            <v>TRABALHADOR DA MANUTENÇÃO PREDIAL E INSTALAÇÕES - (PERIC.) - DIARISTA DIURNO - 40H</v>
          </cell>
          <cell r="G230">
            <v>200</v>
          </cell>
          <cell r="I230" t="str">
            <v>X</v>
          </cell>
          <cell r="L230">
            <v>8</v>
          </cell>
          <cell r="M230">
            <v>22</v>
          </cell>
          <cell r="N230">
            <v>24</v>
          </cell>
          <cell r="O230">
            <v>6</v>
          </cell>
          <cell r="R230">
            <v>2503.863216008986</v>
          </cell>
          <cell r="S230">
            <v>751.15896480269578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3255.0221808116817</v>
          </cell>
          <cell r="AA230">
            <v>0.81799999999999995</v>
          </cell>
          <cell r="AB230">
            <v>2662.6081439039554</v>
          </cell>
          <cell r="AC230">
            <v>19.18</v>
          </cell>
          <cell r="AD230">
            <v>52.615447885447871</v>
          </cell>
          <cell r="AE230">
            <v>71.795447885447871</v>
          </cell>
          <cell r="AF230">
            <v>4.8074173747372528</v>
          </cell>
          <cell r="AG230">
            <v>210.30305694305693</v>
          </cell>
          <cell r="AH230">
            <v>3.2904213048597905E-2</v>
          </cell>
          <cell r="AI230">
            <v>222.22469497352859</v>
          </cell>
          <cell r="AJ230">
            <v>7.0000000000000007E-2</v>
          </cell>
          <cell r="AK230">
            <v>488.31368900939174</v>
          </cell>
          <cell r="AL230">
            <v>6915.07</v>
          </cell>
          <cell r="AM230">
            <v>181.81818181818184</v>
          </cell>
          <cell r="AN230">
            <v>549.14</v>
          </cell>
        </row>
        <row r="231">
          <cell r="A231">
            <v>127</v>
          </cell>
          <cell r="B231" t="str">
            <v>TRABALHADOR DA MANUTENÇÃO PREDIAL E INSTALAÇÕES</v>
          </cell>
          <cell r="C231">
            <v>44</v>
          </cell>
          <cell r="D231">
            <v>220</v>
          </cell>
          <cell r="E231" t="str">
            <v>DIARISTA DIURNO</v>
          </cell>
          <cell r="F231" t="str">
            <v>TRABALHADOR DA MANUTENÇÃO PREDIAL E INSTALAÇÕES - (PERIC.) - DIARISTA DIURNO - 44H</v>
          </cell>
          <cell r="G231">
            <v>220</v>
          </cell>
          <cell r="I231" t="str">
            <v>X</v>
          </cell>
          <cell r="L231">
            <v>8</v>
          </cell>
          <cell r="M231">
            <v>22</v>
          </cell>
          <cell r="N231">
            <v>24</v>
          </cell>
          <cell r="O231">
            <v>6</v>
          </cell>
          <cell r="R231">
            <v>2754.2495376098846</v>
          </cell>
          <cell r="S231">
            <v>826.27486128296539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3580.5243988928501</v>
          </cell>
          <cell r="AA231">
            <v>0.81799999999999995</v>
          </cell>
          <cell r="AB231">
            <v>2928.8689582943512</v>
          </cell>
          <cell r="AC231">
            <v>19.18</v>
          </cell>
          <cell r="AD231">
            <v>52.615447885447871</v>
          </cell>
          <cell r="AE231">
            <v>71.795447885447871</v>
          </cell>
          <cell r="AF231">
            <v>5.2881591122109777</v>
          </cell>
          <cell r="AG231">
            <v>201.79439560439556</v>
          </cell>
          <cell r="AH231">
            <v>3.2904213048597905E-2</v>
          </cell>
          <cell r="AI231">
            <v>241.43203949136279</v>
          </cell>
          <cell r="AJ231">
            <v>7.0000000000000007E-2</v>
          </cell>
          <cell r="AK231">
            <v>530.51966102656661</v>
          </cell>
          <cell r="AL231">
            <v>7560.22</v>
          </cell>
          <cell r="AM231">
            <v>200.00000000000003</v>
          </cell>
          <cell r="AN231">
            <v>549.14</v>
          </cell>
        </row>
        <row r="232">
          <cell r="A232">
            <v>124</v>
          </cell>
          <cell r="B232" t="str">
            <v>TRABALHADOR DA MANUTENÇÃO PREDIAL E INSTALAÇÕES</v>
          </cell>
          <cell r="C232">
            <v>44</v>
          </cell>
          <cell r="D232">
            <v>220</v>
          </cell>
          <cell r="E232" t="str">
            <v>DIARISTA DIURNO</v>
          </cell>
          <cell r="F232" t="str">
            <v>TRABALHADOR DA MANUTENÇÃO PREDIAL E INSTALAÇÕES - DIARISTA DIURNO - 44H</v>
          </cell>
          <cell r="G232">
            <v>220</v>
          </cell>
          <cell r="L232">
            <v>8</v>
          </cell>
          <cell r="M232">
            <v>22</v>
          </cell>
          <cell r="N232">
            <v>24</v>
          </cell>
          <cell r="O232">
            <v>6</v>
          </cell>
          <cell r="R232">
            <v>2754.2495376098846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2754.2495376098846</v>
          </cell>
          <cell r="AA232">
            <v>0.81799999999999995</v>
          </cell>
          <cell r="AB232">
            <v>2252.9761217648856</v>
          </cell>
          <cell r="AC232">
            <v>19.18</v>
          </cell>
          <cell r="AD232">
            <v>52.615447885447871</v>
          </cell>
          <cell r="AE232">
            <v>71.795447885447871</v>
          </cell>
          <cell r="AF232">
            <v>5.2881591122109777</v>
          </cell>
          <cell r="AG232">
            <v>201.79439560439556</v>
          </cell>
          <cell r="AH232">
            <v>3.2904213048597905E-2</v>
          </cell>
          <cell r="AI232">
            <v>192.00439352782072</v>
          </cell>
          <cell r="AJ232">
            <v>7.0000000000000007E-2</v>
          </cell>
          <cell r="AK232">
            <v>421.9079869622484</v>
          </cell>
          <cell r="AL232">
            <v>5900.01</v>
          </cell>
          <cell r="AM232">
            <v>200.00000000000003</v>
          </cell>
          <cell r="AN232">
            <v>549.14</v>
          </cell>
        </row>
        <row r="233">
          <cell r="A233">
            <v>1201</v>
          </cell>
          <cell r="B233" t="str">
            <v>TRATADOR DE ANIMAIS</v>
          </cell>
          <cell r="C233">
            <v>44</v>
          </cell>
          <cell r="D233">
            <v>210</v>
          </cell>
          <cell r="E233" t="str">
            <v>12x36 DIURNO</v>
          </cell>
          <cell r="F233" t="str">
            <v>TRATADOR DE ANIMAIS - 12x36 DIURNO - 44H</v>
          </cell>
          <cell r="G233">
            <v>210</v>
          </cell>
          <cell r="L233">
            <v>12</v>
          </cell>
          <cell r="M233">
            <v>15.22</v>
          </cell>
          <cell r="N233">
            <v>24</v>
          </cell>
          <cell r="O233">
            <v>6</v>
          </cell>
          <cell r="R233">
            <v>2570.5184999999997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3.5701645833333333</v>
          </cell>
          <cell r="Z233">
            <v>2574.088664583333</v>
          </cell>
          <cell r="AA233">
            <v>0.81799999999999995</v>
          </cell>
          <cell r="AB233">
            <v>2105.6045276291661</v>
          </cell>
          <cell r="AC233">
            <v>11.378181818181817</v>
          </cell>
          <cell r="AD233">
            <v>77.229090909090914</v>
          </cell>
          <cell r="AE233">
            <v>88.607272727272729</v>
          </cell>
          <cell r="AF233">
            <v>4.9353955199999993</v>
          </cell>
          <cell r="AG233">
            <v>61.509600000000006</v>
          </cell>
          <cell r="AH233">
            <v>0</v>
          </cell>
          <cell r="AI233">
            <v>0</v>
          </cell>
          <cell r="AJ233">
            <v>7.0000000000000007E-2</v>
          </cell>
          <cell r="AK233">
            <v>377.04278223218409</v>
          </cell>
          <cell r="AL233">
            <v>5211.78</v>
          </cell>
          <cell r="AM233">
            <v>200.00000000000003</v>
          </cell>
          <cell r="AN233">
            <v>551.58000000000004</v>
          </cell>
        </row>
        <row r="234">
          <cell r="A234">
            <v>1533</v>
          </cell>
          <cell r="B234" t="str">
            <v>TRATADOR DE ANIMAIS</v>
          </cell>
          <cell r="C234">
            <v>44</v>
          </cell>
          <cell r="D234">
            <v>220</v>
          </cell>
          <cell r="E234" t="str">
            <v>DIARISTA DIURNO</v>
          </cell>
          <cell r="F234" t="str">
            <v>TRATADOR DE ANIMAIS - DIARISTA DIURNO - 44H</v>
          </cell>
          <cell r="G234">
            <v>220</v>
          </cell>
          <cell r="L234">
            <v>8</v>
          </cell>
          <cell r="M234">
            <v>22</v>
          </cell>
          <cell r="N234">
            <v>24</v>
          </cell>
          <cell r="O234">
            <v>6</v>
          </cell>
          <cell r="R234">
            <v>2570.5184999999997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2570.5184999999997</v>
          </cell>
          <cell r="AA234">
            <v>0.81799999999999995</v>
          </cell>
          <cell r="AB234">
            <v>2102.6841329999997</v>
          </cell>
          <cell r="AC234">
            <v>11.378181818181817</v>
          </cell>
          <cell r="AD234">
            <v>77.229090909090914</v>
          </cell>
          <cell r="AE234">
            <v>88.607272727272729</v>
          </cell>
          <cell r="AF234">
            <v>4.9353955199999993</v>
          </cell>
          <cell r="AG234">
            <v>61.509600000000006</v>
          </cell>
          <cell r="AH234">
            <v>0</v>
          </cell>
          <cell r="AI234">
            <v>0</v>
          </cell>
          <cell r="AJ234">
            <v>7.0000000000000007E-2</v>
          </cell>
          <cell r="AK234">
            <v>376.58844308730914</v>
          </cell>
          <cell r="AL234">
            <v>5204.84</v>
          </cell>
          <cell r="AM234">
            <v>200.00000000000003</v>
          </cell>
          <cell r="AN234">
            <v>551.58000000000004</v>
          </cell>
        </row>
        <row r="235">
          <cell r="A235">
            <v>1911</v>
          </cell>
          <cell r="B235" t="str">
            <v>TRATADOR DE ANIMAIS</v>
          </cell>
          <cell r="C235">
            <v>40</v>
          </cell>
          <cell r="D235">
            <v>200</v>
          </cell>
          <cell r="E235" t="str">
            <v>DIARISTA DIURNO</v>
          </cell>
          <cell r="F235" t="str">
            <v>TRATADOR DE ANIMAIS - DIARISTA DIURNO - 40H</v>
          </cell>
          <cell r="G235">
            <v>200</v>
          </cell>
          <cell r="L235">
            <v>8</v>
          </cell>
          <cell r="M235">
            <v>22</v>
          </cell>
          <cell r="N235">
            <v>24</v>
          </cell>
          <cell r="O235">
            <v>6</v>
          </cell>
          <cell r="R235">
            <v>2336.8349999999996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2336.8349999999996</v>
          </cell>
          <cell r="AA235">
            <v>0.81799999999999995</v>
          </cell>
          <cell r="AB235">
            <v>1911.5310299999996</v>
          </cell>
          <cell r="AC235">
            <v>11.378181818181817</v>
          </cell>
          <cell r="AD235">
            <v>77.229090909090914</v>
          </cell>
          <cell r="AE235">
            <v>88.607272727272729</v>
          </cell>
          <cell r="AF235">
            <v>4.4867231999999992</v>
          </cell>
          <cell r="AG235">
            <v>69.138145454545466</v>
          </cell>
          <cell r="AH235">
            <v>0</v>
          </cell>
          <cell r="AI235">
            <v>0</v>
          </cell>
          <cell r="AJ235">
            <v>7.0000000000000007E-2</v>
          </cell>
          <cell r="AK235">
            <v>347.35247199672722</v>
          </cell>
          <cell r="AL235">
            <v>4757.95</v>
          </cell>
          <cell r="AM235">
            <v>181.81818181818184</v>
          </cell>
          <cell r="AN235">
            <v>551.58000000000004</v>
          </cell>
        </row>
        <row r="236">
          <cell r="A236">
            <v>181</v>
          </cell>
          <cell r="B236" t="str">
            <v>VIGIA DE PARQUE</v>
          </cell>
          <cell r="C236">
            <v>44</v>
          </cell>
          <cell r="D236">
            <v>210</v>
          </cell>
          <cell r="E236" t="str">
            <v>12x36 DIURNO</v>
          </cell>
          <cell r="F236" t="str">
            <v>VIGIA DE PARQUE - (PERIC.) - 12x36 DIURNO - 44H</v>
          </cell>
          <cell r="G236">
            <v>210</v>
          </cell>
          <cell r="I236" t="str">
            <v>X</v>
          </cell>
          <cell r="L236">
            <v>12</v>
          </cell>
          <cell r="M236">
            <v>15.22</v>
          </cell>
          <cell r="N236">
            <v>24</v>
          </cell>
          <cell r="O236">
            <v>6</v>
          </cell>
          <cell r="R236">
            <v>2575.3514736842117</v>
          </cell>
          <cell r="S236">
            <v>772.60544210526348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4.6499401608187156</v>
          </cell>
          <cell r="Z236">
            <v>3352.6068559502942</v>
          </cell>
          <cell r="AA236">
            <v>0.81799999999999995</v>
          </cell>
          <cell r="AB236">
            <v>2742.4324081673403</v>
          </cell>
          <cell r="AC236">
            <v>27.513333333333332</v>
          </cell>
          <cell r="AD236">
            <v>51.851515151515152</v>
          </cell>
          <cell r="AE236">
            <v>79.36484848484848</v>
          </cell>
          <cell r="AF236">
            <v>4.9446748294736862</v>
          </cell>
          <cell r="AG236">
            <v>149.87399999999997</v>
          </cell>
          <cell r="AH236">
            <v>3.9158639165422469E-2</v>
          </cell>
          <cell r="AI236">
            <v>269.44287352148115</v>
          </cell>
          <cell r="AJ236">
            <v>7.0000000000000007E-2</v>
          </cell>
          <cell r="AK236">
            <v>500.51719626674071</v>
          </cell>
          <cell r="AL236">
            <v>7099.18</v>
          </cell>
          <cell r="AM236">
            <v>200.00000000000003</v>
          </cell>
          <cell r="AN236">
            <v>551.58000000000004</v>
          </cell>
        </row>
        <row r="237">
          <cell r="A237">
            <v>182</v>
          </cell>
          <cell r="B237" t="str">
            <v>VIGIA DE PARQUE</v>
          </cell>
          <cell r="C237">
            <v>44</v>
          </cell>
          <cell r="D237">
            <v>210</v>
          </cell>
          <cell r="E237" t="str">
            <v>12x36 NOTURNO</v>
          </cell>
          <cell r="F237" t="str">
            <v>VIGIA DE PARQUE - (PERIC.) - 12x36 NOTURNO - 44H</v>
          </cell>
          <cell r="G237">
            <v>210</v>
          </cell>
          <cell r="I237" t="str">
            <v>X</v>
          </cell>
          <cell r="L237">
            <v>12</v>
          </cell>
          <cell r="M237">
            <v>15.22</v>
          </cell>
          <cell r="N237">
            <v>24</v>
          </cell>
          <cell r="O237">
            <v>6</v>
          </cell>
          <cell r="P237">
            <v>7</v>
          </cell>
          <cell r="Q237">
            <v>2</v>
          </cell>
          <cell r="R237">
            <v>2575.3514736842117</v>
          </cell>
          <cell r="S237">
            <v>772.60544210526348</v>
          </cell>
          <cell r="T237">
            <v>779.93822878087371</v>
          </cell>
          <cell r="U237">
            <v>17.024854110807137</v>
          </cell>
          <cell r="V237">
            <v>63.843183762565893</v>
          </cell>
          <cell r="W237">
            <v>0</v>
          </cell>
          <cell r="X237">
            <v>0</v>
          </cell>
          <cell r="Y237">
            <v>4.6499401608187156</v>
          </cell>
          <cell r="Z237">
            <v>4213.4131226045401</v>
          </cell>
          <cell r="AA237">
            <v>0.81799999999999995</v>
          </cell>
          <cell r="AB237">
            <v>3446.5719342905136</v>
          </cell>
          <cell r="AC237">
            <v>27.513333333333332</v>
          </cell>
          <cell r="AD237">
            <v>51.851515151515152</v>
          </cell>
          <cell r="AE237">
            <v>79.36484848484848</v>
          </cell>
          <cell r="AF237">
            <v>4.9446748294736862</v>
          </cell>
          <cell r="AG237">
            <v>149.87399999999997</v>
          </cell>
          <cell r="AH237">
            <v>3.9158639165422469E-2</v>
          </cell>
          <cell r="AI237">
            <v>330.72402113429808</v>
          </cell>
          <cell r="AJ237">
            <v>7.0000000000000007E-2</v>
          </cell>
          <cell r="AK237">
            <v>614.35308209405719</v>
          </cell>
          <cell r="AL237">
            <v>8839.24</v>
          </cell>
          <cell r="AM237">
            <v>200.00000000000003</v>
          </cell>
          <cell r="AN237">
            <v>551.58000000000004</v>
          </cell>
        </row>
        <row r="238">
          <cell r="A238">
            <v>180</v>
          </cell>
          <cell r="B238" t="str">
            <v>VIGIA DE PARQUE</v>
          </cell>
          <cell r="C238">
            <v>44</v>
          </cell>
          <cell r="D238">
            <v>220</v>
          </cell>
          <cell r="E238" t="str">
            <v>DIARISTA DIURNO</v>
          </cell>
          <cell r="F238" t="str">
            <v>VIGIA DE PARQUE - (PERIC.) - DIARISTA DIURNO - 44H</v>
          </cell>
          <cell r="G238">
            <v>220</v>
          </cell>
          <cell r="I238" t="str">
            <v>X</v>
          </cell>
          <cell r="L238">
            <v>8</v>
          </cell>
          <cell r="M238">
            <v>22</v>
          </cell>
          <cell r="N238">
            <v>24</v>
          </cell>
          <cell r="O238">
            <v>6</v>
          </cell>
          <cell r="R238">
            <v>2575.3514736842117</v>
          </cell>
          <cell r="S238">
            <v>772.60544210526348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3347.9569157894753</v>
          </cell>
          <cell r="AA238">
            <v>0.81799999999999995</v>
          </cell>
          <cell r="AB238">
            <v>2738.6287571157904</v>
          </cell>
          <cell r="AC238">
            <v>27.513333333333332</v>
          </cell>
          <cell r="AD238">
            <v>51.851515151515152</v>
          </cell>
          <cell r="AE238">
            <v>79.36484848484848</v>
          </cell>
          <cell r="AF238">
            <v>4.9446748294736862</v>
          </cell>
          <cell r="AG238">
            <v>149.87399999999997</v>
          </cell>
          <cell r="AH238">
            <v>3.9158639165422469E-2</v>
          </cell>
          <cell r="AI238">
            <v>269.11184239354395</v>
          </cell>
          <cell r="AJ238">
            <v>7.0000000000000007E-2</v>
          </cell>
          <cell r="AK238">
            <v>499.90227270291928</v>
          </cell>
          <cell r="AL238">
            <v>7089.78</v>
          </cell>
          <cell r="AM238">
            <v>200.00000000000003</v>
          </cell>
          <cell r="AN238">
            <v>551.58000000000004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78B0-FA56-4CE9-BD01-5DBE1F351A72}">
  <sheetPr>
    <pageSetUpPr fitToPage="1"/>
  </sheetPr>
  <dimension ref="A1:BA734"/>
  <sheetViews>
    <sheetView tabSelected="1" topLeftCell="D1" zoomScale="85" zoomScaleNormal="85" zoomScaleSheetLayoutView="100" workbookViewId="0">
      <selection activeCell="AX3" sqref="AX3:AX4"/>
    </sheetView>
  </sheetViews>
  <sheetFormatPr defaultColWidth="9.140625" defaultRowHeight="12.75" x14ac:dyDescent="0.25"/>
  <cols>
    <col min="1" max="1" width="9" style="50" hidden="1" customWidth="1"/>
    <col min="2" max="2" width="8.7109375" style="50" hidden="1" customWidth="1"/>
    <col min="3" max="3" width="6.85546875" style="50" hidden="1" customWidth="1"/>
    <col min="4" max="4" width="7.140625" style="22" customWidth="1"/>
    <col min="5" max="5" width="59.7109375" style="22" hidden="1" customWidth="1"/>
    <col min="6" max="6" width="7.7109375" style="22" customWidth="1"/>
    <col min="7" max="7" width="97.28515625" style="60" customWidth="1"/>
    <col min="8" max="8" width="6.85546875" style="22" customWidth="1"/>
    <col min="9" max="9" width="7.7109375" style="52" customWidth="1"/>
    <col min="10" max="10" width="16.5703125" style="52" customWidth="1"/>
    <col min="11" max="11" width="6.7109375" style="22" customWidth="1"/>
    <col min="12" max="12" width="9.85546875" style="22" customWidth="1"/>
    <col min="13" max="13" width="11" style="50" customWidth="1"/>
    <col min="14" max="14" width="12.5703125" style="50" customWidth="1"/>
    <col min="15" max="15" width="10" style="50" customWidth="1"/>
    <col min="16" max="16" width="11" style="50" customWidth="1"/>
    <col min="17" max="17" width="8.140625" style="50" customWidth="1"/>
    <col min="18" max="18" width="8.28515625" style="50" customWidth="1"/>
    <col min="19" max="19" width="9.7109375" style="50" customWidth="1"/>
    <col min="20" max="20" width="10.42578125" style="50" customWidth="1"/>
    <col min="21" max="21" width="12.7109375" style="50" customWidth="1"/>
    <col min="22" max="22" width="7.7109375" style="50" customWidth="1"/>
    <col min="23" max="23" width="10.7109375" style="50" bestFit="1" customWidth="1"/>
    <col min="24" max="24" width="8.5703125" style="50" bestFit="1" customWidth="1"/>
    <col min="25" max="25" width="7.7109375" style="50" bestFit="1" customWidth="1"/>
    <col min="26" max="26" width="8.140625" style="50" customWidth="1"/>
    <col min="27" max="27" width="7.85546875" style="50" customWidth="1"/>
    <col min="28" max="28" width="10.28515625" style="50" customWidth="1"/>
    <col min="29" max="29" width="6.7109375" style="53" customWidth="1"/>
    <col min="30" max="30" width="10.140625" style="50" customWidth="1"/>
    <col min="31" max="31" width="4.85546875" style="50" customWidth="1"/>
    <col min="32" max="32" width="12.42578125" style="50" customWidth="1"/>
    <col min="33" max="33" width="14.42578125" style="50" customWidth="1"/>
    <col min="34" max="34" width="17.7109375" style="50" customWidth="1"/>
    <col min="35" max="35" width="15.42578125" style="58" customWidth="1"/>
    <col min="36" max="36" width="18.140625" style="58" customWidth="1"/>
    <col min="37" max="39" width="13.42578125" style="50" customWidth="1"/>
    <col min="40" max="40" width="14.140625" style="50" customWidth="1"/>
    <col min="41" max="42" width="14" style="50" customWidth="1"/>
    <col min="43" max="43" width="13.85546875" style="50" customWidth="1"/>
    <col min="44" max="44" width="14.140625" style="50" customWidth="1"/>
    <col min="45" max="45" width="15" style="50" customWidth="1"/>
    <col min="46" max="46" width="16.7109375" style="50" customWidth="1"/>
    <col min="47" max="47" width="9.140625" style="63" customWidth="1"/>
    <col min="48" max="48" width="9.140625" style="50" customWidth="1"/>
    <col min="49" max="49" width="14.42578125" style="50" bestFit="1" customWidth="1"/>
    <col min="50" max="50" width="16" style="50" bestFit="1" customWidth="1"/>
    <col min="51" max="54" width="9.140625" style="50" customWidth="1"/>
    <col min="55" max="16384" width="9.140625" style="50"/>
  </cols>
  <sheetData>
    <row r="1" spans="1:53" s="22" customFormat="1" ht="24.75" customHeight="1" x14ac:dyDescent="0.25">
      <c r="A1" s="1" t="s">
        <v>0</v>
      </c>
      <c r="B1" s="1" t="s">
        <v>0</v>
      </c>
      <c r="C1" s="2" t="s">
        <v>1</v>
      </c>
      <c r="D1" s="3" t="s">
        <v>2</v>
      </c>
      <c r="E1" s="4" t="s">
        <v>3</v>
      </c>
      <c r="F1" s="3" t="s">
        <v>4</v>
      </c>
      <c r="G1" s="5" t="s">
        <v>5</v>
      </c>
      <c r="H1" s="3" t="s">
        <v>6</v>
      </c>
      <c r="I1" s="6" t="s">
        <v>7</v>
      </c>
      <c r="J1" s="6" t="s">
        <v>8</v>
      </c>
      <c r="K1" s="3" t="s">
        <v>9</v>
      </c>
      <c r="L1" s="3" t="s">
        <v>10</v>
      </c>
      <c r="M1" s="7" t="s">
        <v>11</v>
      </c>
      <c r="N1" s="7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9" t="s">
        <v>19</v>
      </c>
      <c r="V1" s="9" t="s">
        <v>20</v>
      </c>
      <c r="W1" s="9"/>
      <c r="X1" s="10" t="s">
        <v>21</v>
      </c>
      <c r="Y1" s="10" t="s">
        <v>22</v>
      </c>
      <c r="Z1" s="11" t="s">
        <v>23</v>
      </c>
      <c r="AA1" s="12" t="s">
        <v>24</v>
      </c>
      <c r="AB1" s="13" t="s">
        <v>25</v>
      </c>
      <c r="AC1" s="14" t="s">
        <v>26</v>
      </c>
      <c r="AD1" s="14"/>
      <c r="AE1" s="15" t="s">
        <v>27</v>
      </c>
      <c r="AF1" s="15"/>
      <c r="AG1" s="16" t="s">
        <v>28</v>
      </c>
      <c r="AH1" s="16" t="s">
        <v>29</v>
      </c>
      <c r="AI1" s="17" t="s">
        <v>30</v>
      </c>
      <c r="AJ1" s="17" t="s">
        <v>31</v>
      </c>
      <c r="AK1" s="18" t="s">
        <v>32</v>
      </c>
      <c r="AL1" s="19" t="s">
        <v>33</v>
      </c>
      <c r="AM1" s="19" t="s">
        <v>34</v>
      </c>
      <c r="AN1" s="20" t="s">
        <v>35</v>
      </c>
      <c r="AO1" s="18" t="s">
        <v>36</v>
      </c>
      <c r="AP1" s="19" t="s">
        <v>37</v>
      </c>
      <c r="AQ1" s="18" t="s">
        <v>38</v>
      </c>
      <c r="AR1" s="20" t="s">
        <v>39</v>
      </c>
      <c r="AS1" s="21" t="s">
        <v>40</v>
      </c>
      <c r="AT1" s="21" t="s">
        <v>41</v>
      </c>
      <c r="AU1" s="61"/>
    </row>
    <row r="2" spans="1:53" s="22" customFormat="1" ht="42" customHeight="1" x14ac:dyDescent="0.25">
      <c r="A2" s="23"/>
      <c r="B2" s="23"/>
      <c r="C2" s="2"/>
      <c r="D2" s="24"/>
      <c r="E2" s="25"/>
      <c r="F2" s="24"/>
      <c r="G2" s="26" t="s">
        <v>42</v>
      </c>
      <c r="H2" s="24"/>
      <c r="I2" s="27"/>
      <c r="J2" s="27"/>
      <c r="K2" s="24"/>
      <c r="L2" s="24"/>
      <c r="M2" s="7"/>
      <c r="N2" s="7"/>
      <c r="O2" s="8"/>
      <c r="P2" s="8"/>
      <c r="Q2" s="8"/>
      <c r="R2" s="8"/>
      <c r="S2" s="8"/>
      <c r="T2" s="8"/>
      <c r="U2" s="9"/>
      <c r="V2" s="28" t="s">
        <v>43</v>
      </c>
      <c r="W2" s="28" t="s">
        <v>44</v>
      </c>
      <c r="X2" s="10"/>
      <c r="Y2" s="10"/>
      <c r="Z2" s="11"/>
      <c r="AA2" s="12"/>
      <c r="AB2" s="13"/>
      <c r="AC2" s="29" t="s">
        <v>43</v>
      </c>
      <c r="AD2" s="30" t="s">
        <v>44</v>
      </c>
      <c r="AE2" s="31" t="s">
        <v>43</v>
      </c>
      <c r="AF2" s="31" t="s">
        <v>44</v>
      </c>
      <c r="AG2" s="16"/>
      <c r="AH2" s="16"/>
      <c r="AI2" s="17"/>
      <c r="AJ2" s="17"/>
      <c r="AK2" s="18"/>
      <c r="AL2" s="32"/>
      <c r="AM2" s="32"/>
      <c r="AN2" s="20"/>
      <c r="AO2" s="18"/>
      <c r="AP2" s="32"/>
      <c r="AQ2" s="18"/>
      <c r="AR2" s="20"/>
      <c r="AS2" s="21"/>
      <c r="AT2" s="21"/>
      <c r="AU2" s="61"/>
    </row>
    <row r="3" spans="1:53" ht="19.5" customHeight="1" x14ac:dyDescent="0.25">
      <c r="A3" s="33" t="str">
        <f t="shared" ref="A3:A66" si="0">CONCATENATE(F3,H3,I3)</f>
        <v>140970400,02</v>
      </c>
      <c r="B3" s="33" t="str">
        <f t="shared" ref="B3:B66" si="1">CONCATENATE(D3,I3)</f>
        <v>16980,02</v>
      </c>
      <c r="C3" s="34" t="str">
        <f>VLOOKUP(D3,[1]apoio_Preços_MGS!$A$6:$B$238,2,FALSE)</f>
        <v>AGENTE DE CAMPO</v>
      </c>
      <c r="D3" s="35">
        <v>1698</v>
      </c>
      <c r="E3" s="33" t="s">
        <v>45</v>
      </c>
      <c r="F3" s="36">
        <v>140970</v>
      </c>
      <c r="G3" s="33" t="str">
        <f>IF(H3="N/A",VLOOKUP(F3&amp;40,'[1]apoio_cód catmas'!$A$1:$G$233,4,FALSE),VLOOKUP(F3&amp;H3,'[1]apoio_cód catmas'!$A$1:$G$233,4,FALSE))</f>
        <v>AGENTE DE CAMPO (PERICULOSIDADE) DIARISTA DIURNO - 40 H</v>
      </c>
      <c r="H3" s="36">
        <v>40</v>
      </c>
      <c r="I3" s="37">
        <v>0.02</v>
      </c>
      <c r="J3" s="38" t="s">
        <v>46</v>
      </c>
      <c r="K3" s="39">
        <v>6</v>
      </c>
      <c r="L3" s="39">
        <f t="shared" ref="L3:L90" si="2">K3*60</f>
        <v>360</v>
      </c>
      <c r="M3" s="40">
        <f>VLOOKUP(D3,[1]apoio_Preços_MGS!$A$6:$AN$238,18,FALSE)</f>
        <v>2122.7947331250002</v>
      </c>
      <c r="N3" s="40">
        <f>VLOOKUP(D3,[1]apoio_Preços_MGS!$A$6:$AN$238,19,FALSE)</f>
        <v>636.83841993750002</v>
      </c>
      <c r="O3" s="40">
        <f>VLOOKUP(D3,[1]apoio_Preços_MGS!$A$6:$AN$238,20,FALSE)</f>
        <v>0</v>
      </c>
      <c r="P3" s="40">
        <f>VLOOKUP(D3,[1]apoio_Preços_MGS!$A$6:$AN$238,21,FALSE)</f>
        <v>0</v>
      </c>
      <c r="Q3" s="40">
        <f>VLOOKUP(D3,[1]apoio_Preços_MGS!$A$6:$AN$238,22,FALSE)</f>
        <v>0</v>
      </c>
      <c r="R3" s="40">
        <f>VLOOKUP(D3,[1]apoio_Preços_MGS!$A$6:$AN$238,23,FALSE)</f>
        <v>0</v>
      </c>
      <c r="S3" s="40">
        <f>VLOOKUP(D3,[1]apoio_Preços_MGS!$A$6:$AN$238,24,FALSE)</f>
        <v>0</v>
      </c>
      <c r="T3" s="40">
        <f>VLOOKUP(D3,[1]apoio_Preços_MGS!$A$6:$AN$238,25,FALSE)</f>
        <v>0</v>
      </c>
      <c r="U3" s="40">
        <f t="shared" ref="U3:U90" si="3">SUM(M3:T3)</f>
        <v>2759.6331530625002</v>
      </c>
      <c r="V3" s="41">
        <f>VLOOKUP(D3,[1]apoio_Preços_MGS!$A$6:$AN$238,27,FALSE)</f>
        <v>0.81799999999999995</v>
      </c>
      <c r="W3" s="40">
        <f t="shared" ref="W3:W90" si="4">U3*V3</f>
        <v>2257.3799192051251</v>
      </c>
      <c r="X3" s="40">
        <f>VLOOKUP(D3,[1]apoio_Preços_MGS!$A$6:$AN$238,29,FALSE)</f>
        <v>30.014545454545452</v>
      </c>
      <c r="Y3" s="40">
        <f>VLOOKUP(D3,[1]apoio_Preços_MGS!$A$6:$AN$238,30,FALSE)</f>
        <v>23.863030303030303</v>
      </c>
      <c r="Z3" s="40">
        <f t="shared" ref="Z3:Z90" si="5">Y3+X3</f>
        <v>53.877575757575755</v>
      </c>
      <c r="AA3" s="40">
        <f>VLOOKUP(D3,[1]apoio_Preços_MGS!$A$6:$AN$238,32,FALSE)</f>
        <v>4.0757658876000002</v>
      </c>
      <c r="AB3" s="40">
        <f>VLOOKUP(D3,[1]apoio_Preços_MGS!$A$6:$AN$238,33,FALSE)</f>
        <v>147.63636363636363</v>
      </c>
      <c r="AC3" s="41">
        <f>VLOOKUP(D3,[1]apoio_Preços_MGS!$A$6:$AN$238,34,FALSE)</f>
        <v>0</v>
      </c>
      <c r="AD3" s="40">
        <f>(U3+W3+Z3+AB3+AA3+VLOOKUP(C3,[1]apoio_Prec_Folha!$A:$S,7,FALSE))*AC3</f>
        <v>0</v>
      </c>
      <c r="AE3" s="42">
        <f>VLOOKUP(D3,[1]apoio_Preços_MGS!$A$6:$AN$238,36,FALSE)</f>
        <v>7.0000000000000007E-2</v>
      </c>
      <c r="AF3" s="40">
        <f>(U3+W3+Z3+AB3+AD3+AA3+VLOOKUP(C3,[1]apoio_Prec_Folha!$A:$S,7,FALSE))*AE3</f>
        <v>401.83659442844163</v>
      </c>
      <c r="AG3" s="40">
        <f t="shared" ref="AG3:AG90" si="6">TRUNC(U3+W3+Z3+AB3+AA3+AD3+AF3,2)</f>
        <v>5624.43</v>
      </c>
      <c r="AH3" s="43">
        <f t="shared" ref="AH3:AH90" si="7">TRUNC($AG3*ROUND((7.6%+1.65%+$I3)/(1-(7.6%+1.65%+$I3)),5)+$AG3,2)</f>
        <v>6337.38</v>
      </c>
      <c r="AI3" s="43">
        <f t="shared" ref="AI3:AI90" si="8">AH3*K3</f>
        <v>38024.28</v>
      </c>
      <c r="AJ3" s="43">
        <f t="shared" ref="AJ3:AJ90" si="9">AH3*L3</f>
        <v>2281456.7999999998</v>
      </c>
      <c r="AK3" s="44">
        <f>VLOOKUP(D3,[1]apoio_Preços_MGS!$A$6:$AN$238,39,FALSE)</f>
        <v>181.81818181818184</v>
      </c>
      <c r="AL3" s="44">
        <f>IF(J3="demais municípios",VLOOKUP(D3,[1]apoio_Preços_MGS!$A$6:$AN$238,39,FALSE),0)</f>
        <v>181.81818181818184</v>
      </c>
      <c r="AM3" s="44">
        <v>0</v>
      </c>
      <c r="AN3" s="45">
        <f>AK3*K3</f>
        <v>1090.909090909091</v>
      </c>
      <c r="AO3" s="44">
        <f>VLOOKUP(D3,[1]apoio_Preços_MGS!$A$6:$AN$238,40,FALSE)</f>
        <v>517.91999999999996</v>
      </c>
      <c r="AP3" s="44">
        <f>IF(J3="demais municípios",VLOOKUP(D3,[1]apoio_Preços_MGS!$A$6:$AN$238,40,FALSE),0)</f>
        <v>517.91999999999996</v>
      </c>
      <c r="AQ3" s="44">
        <v>0</v>
      </c>
      <c r="AR3" s="45">
        <f>AO3*K3</f>
        <v>3107.5199999999995</v>
      </c>
      <c r="AS3" s="45">
        <f t="shared" ref="AS3:AS66" si="10">AN3+AR3</f>
        <v>4198.4290909090905</v>
      </c>
      <c r="AT3" s="45">
        <f>AS3*60</f>
        <v>251905.74545454542</v>
      </c>
      <c r="AU3" s="62"/>
      <c r="AV3" s="46"/>
      <c r="AW3" s="47"/>
      <c r="AX3" s="48"/>
      <c r="AY3" s="49"/>
      <c r="BA3" s="48"/>
    </row>
    <row r="4" spans="1:53" ht="19.5" customHeight="1" x14ac:dyDescent="0.25">
      <c r="A4" s="33" t="str">
        <f t="shared" si="0"/>
        <v>140970400,03</v>
      </c>
      <c r="B4" s="33" t="str">
        <f t="shared" si="1"/>
        <v>16980,03</v>
      </c>
      <c r="C4" s="34" t="str">
        <f>VLOOKUP(D4,[1]apoio_Preços_MGS!$A$6:$B$238,2,FALSE)</f>
        <v>AGENTE DE CAMPO</v>
      </c>
      <c r="D4" s="35">
        <v>1698</v>
      </c>
      <c r="E4" s="33" t="str">
        <f>VLOOKUP(D4,[1]apoio_Preços_MGS!$A$6:$F$238,6,FALSE)</f>
        <v>AGENTE DE CAMPO - (PERIC.) - DIARISTA DIURNO - 40H</v>
      </c>
      <c r="F4" s="36">
        <f>IFERROR(VLOOKUP(D4,'[1]apoio_cód catmas'!$B$2:$C$863,2,FALSE),0)</f>
        <v>140970</v>
      </c>
      <c r="G4" s="33" t="str">
        <f>IF(H4="N/A",VLOOKUP(F4&amp;40,'[1]apoio_cód catmas'!$A$1:$G$233,4,FALSE),VLOOKUP(F4&amp;H4,'[1]apoio_cód catmas'!$A$1:$G$233,4,FALSE))</f>
        <v>AGENTE DE CAMPO (PERICULOSIDADE) DIARISTA DIURNO - 40 H</v>
      </c>
      <c r="H4" s="36">
        <v>40</v>
      </c>
      <c r="I4" s="37">
        <v>0.03</v>
      </c>
      <c r="J4" s="38" t="s">
        <v>46</v>
      </c>
      <c r="K4" s="39">
        <v>6</v>
      </c>
      <c r="L4" s="39">
        <f t="shared" si="2"/>
        <v>360</v>
      </c>
      <c r="M4" s="40">
        <f>VLOOKUP(D4,[1]apoio_Preços_MGS!$A$6:$AN$238,18,FALSE)</f>
        <v>2122.7947331250002</v>
      </c>
      <c r="N4" s="40">
        <f>VLOOKUP(D4,[1]apoio_Preços_MGS!$A$6:$AN$238,19,FALSE)</f>
        <v>636.83841993750002</v>
      </c>
      <c r="O4" s="40">
        <f>VLOOKUP(D4,[1]apoio_Preços_MGS!$A$6:$AN$238,20,FALSE)</f>
        <v>0</v>
      </c>
      <c r="P4" s="40">
        <f>VLOOKUP(D4,[1]apoio_Preços_MGS!$A$6:$AN$238,21,FALSE)</f>
        <v>0</v>
      </c>
      <c r="Q4" s="40">
        <f>VLOOKUP(D4,[1]apoio_Preços_MGS!$A$6:$AN$238,22,FALSE)</f>
        <v>0</v>
      </c>
      <c r="R4" s="40">
        <f>VLOOKUP(D4,[1]apoio_Preços_MGS!$A$6:$AN$238,23,FALSE)</f>
        <v>0</v>
      </c>
      <c r="S4" s="40">
        <f>VLOOKUP(D4,[1]apoio_Preços_MGS!$A$6:$AN$238,24,FALSE)</f>
        <v>0</v>
      </c>
      <c r="T4" s="40">
        <f>VLOOKUP(D4,[1]apoio_Preços_MGS!$A$6:$AN$238,25,FALSE)</f>
        <v>0</v>
      </c>
      <c r="U4" s="40">
        <f t="shared" si="3"/>
        <v>2759.6331530625002</v>
      </c>
      <c r="V4" s="41">
        <f>VLOOKUP(D4,[1]apoio_Preços_MGS!$A$6:$AN$238,27,FALSE)</f>
        <v>0.81799999999999995</v>
      </c>
      <c r="W4" s="40">
        <f t="shared" si="4"/>
        <v>2257.3799192051251</v>
      </c>
      <c r="X4" s="40">
        <f>VLOOKUP(D4,[1]apoio_Preços_MGS!$A$6:$AN$238,29,FALSE)</f>
        <v>30.014545454545452</v>
      </c>
      <c r="Y4" s="40">
        <f>VLOOKUP(D4,[1]apoio_Preços_MGS!$A$6:$AN$238,30,FALSE)</f>
        <v>23.863030303030303</v>
      </c>
      <c r="Z4" s="40">
        <f t="shared" si="5"/>
        <v>53.877575757575755</v>
      </c>
      <c r="AA4" s="40">
        <f>VLOOKUP(D4,[1]apoio_Preços_MGS!$A$6:$AN$238,32,FALSE)</f>
        <v>4.0757658876000002</v>
      </c>
      <c r="AB4" s="40">
        <f>VLOOKUP(D4,[1]apoio_Preços_MGS!$A$6:$AN$238,33,FALSE)</f>
        <v>147.63636363636363</v>
      </c>
      <c r="AC4" s="41">
        <f>VLOOKUP(D4,[1]apoio_Preços_MGS!$A$6:$AN$238,34,FALSE)</f>
        <v>0</v>
      </c>
      <c r="AD4" s="40">
        <f>(U4+W4+Z4+AB4+AA4+VLOOKUP(C4,[1]apoio_Prec_Folha!$A:$S,7,FALSE))*AC4</f>
        <v>0</v>
      </c>
      <c r="AE4" s="42">
        <f>VLOOKUP(D4,[1]apoio_Preços_MGS!$A$6:$AN$238,36,FALSE)</f>
        <v>7.0000000000000007E-2</v>
      </c>
      <c r="AF4" s="40">
        <f>(U4+W4+Z4+AB4+AD4+AA4+VLOOKUP(C4,[1]apoio_Prec_Folha!$A:$S,7,FALSE))*AE4</f>
        <v>401.83659442844163</v>
      </c>
      <c r="AG4" s="40">
        <f t="shared" si="6"/>
        <v>5624.43</v>
      </c>
      <c r="AH4" s="43">
        <f t="shared" si="7"/>
        <v>6409.6</v>
      </c>
      <c r="AI4" s="43">
        <f t="shared" si="8"/>
        <v>38457.600000000006</v>
      </c>
      <c r="AJ4" s="43">
        <f t="shared" si="9"/>
        <v>2307456</v>
      </c>
      <c r="AK4" s="44">
        <f>VLOOKUP(D4,[1]apoio_Preços_MGS!$A$6:$AN$238,39,FALSE)</f>
        <v>181.81818181818184</v>
      </c>
      <c r="AL4" s="44">
        <f>IF(J4="demais municípios",VLOOKUP(D4,[1]apoio_Preços_MGS!$A$6:$AN$238,39,FALSE),0)</f>
        <v>181.81818181818184</v>
      </c>
      <c r="AM4" s="44">
        <v>0</v>
      </c>
      <c r="AN4" s="45">
        <f t="shared" ref="AN4:AN5" si="11">AK4*K4</f>
        <v>1090.909090909091</v>
      </c>
      <c r="AO4" s="44">
        <f>VLOOKUP(D4,[1]apoio_Preços_MGS!$A$6:$AN$238,40,FALSE)</f>
        <v>517.91999999999996</v>
      </c>
      <c r="AP4" s="44">
        <f>IF(J4="demais municípios",VLOOKUP(D4,[1]apoio_Preços_MGS!$A$6:$AN$238,40,FALSE),0)</f>
        <v>517.91999999999996</v>
      </c>
      <c r="AQ4" s="44">
        <v>0</v>
      </c>
      <c r="AR4" s="45">
        <f t="shared" ref="AR4:AR5" si="12">AO4*K4</f>
        <v>3107.5199999999995</v>
      </c>
      <c r="AS4" s="45">
        <f t="shared" si="10"/>
        <v>4198.4290909090905</v>
      </c>
      <c r="AT4" s="45">
        <f t="shared" ref="AT4:AT67" si="13">(AN4+AR4)*60</f>
        <v>251905.74545454542</v>
      </c>
      <c r="AU4" s="62"/>
      <c r="AV4" s="46"/>
      <c r="AW4" s="47"/>
      <c r="AX4" s="48"/>
      <c r="AY4" s="49"/>
      <c r="BA4" s="48"/>
    </row>
    <row r="5" spans="1:53" ht="19.5" customHeight="1" x14ac:dyDescent="0.25">
      <c r="A5" s="33" t="str">
        <f t="shared" si="0"/>
        <v>140970400,05</v>
      </c>
      <c r="B5" s="33" t="str">
        <f t="shared" si="1"/>
        <v>16980,05</v>
      </c>
      <c r="C5" s="34" t="str">
        <f>VLOOKUP(D5,[1]apoio_Preços_MGS!$A$6:$B$238,2,FALSE)</f>
        <v>AGENTE DE CAMPO</v>
      </c>
      <c r="D5" s="35">
        <v>1698</v>
      </c>
      <c r="E5" s="33" t="str">
        <f>VLOOKUP(D5,[1]apoio_Preços_MGS!$A$6:$F$238,6,FALSE)</f>
        <v>AGENTE DE CAMPO - (PERIC.) - DIARISTA DIURNO - 40H</v>
      </c>
      <c r="F5" s="36">
        <f>IFERROR(VLOOKUP(D5,'[1]apoio_cód catmas'!$B$2:$C$863,2,FALSE),0)</f>
        <v>140970</v>
      </c>
      <c r="G5" s="33" t="str">
        <f>IF(H5="N/A",VLOOKUP(F5&amp;40,'[1]apoio_cód catmas'!$A$1:$G$233,4,FALSE),VLOOKUP(F5&amp;H5,'[1]apoio_cód catmas'!$A$1:$G$233,4,FALSE))</f>
        <v>AGENTE DE CAMPO (PERICULOSIDADE) DIARISTA DIURNO - 40 H</v>
      </c>
      <c r="H5" s="36">
        <v>40</v>
      </c>
      <c r="I5" s="37">
        <v>0.05</v>
      </c>
      <c r="J5" s="38" t="s">
        <v>46</v>
      </c>
      <c r="K5" s="39">
        <v>2</v>
      </c>
      <c r="L5" s="39">
        <f t="shared" si="2"/>
        <v>120</v>
      </c>
      <c r="M5" s="40">
        <f>VLOOKUP(D5,[1]apoio_Preços_MGS!$A$6:$AN$238,18,FALSE)</f>
        <v>2122.7947331250002</v>
      </c>
      <c r="N5" s="40">
        <f>VLOOKUP(D5,[1]apoio_Preços_MGS!$A$6:$AN$238,19,FALSE)</f>
        <v>636.83841993750002</v>
      </c>
      <c r="O5" s="40">
        <f>VLOOKUP(D5,[1]apoio_Preços_MGS!$A$6:$AN$238,20,FALSE)</f>
        <v>0</v>
      </c>
      <c r="P5" s="40">
        <f>VLOOKUP(D5,[1]apoio_Preços_MGS!$A$6:$AN$238,21,FALSE)</f>
        <v>0</v>
      </c>
      <c r="Q5" s="40">
        <f>VLOOKUP(D5,[1]apoio_Preços_MGS!$A$6:$AN$238,22,FALSE)</f>
        <v>0</v>
      </c>
      <c r="R5" s="40">
        <f>VLOOKUP(D5,[1]apoio_Preços_MGS!$A$6:$AN$238,23,FALSE)</f>
        <v>0</v>
      </c>
      <c r="S5" s="40">
        <f>VLOOKUP(D5,[1]apoio_Preços_MGS!$A$6:$AN$238,24,FALSE)</f>
        <v>0</v>
      </c>
      <c r="T5" s="40">
        <f>VLOOKUP(D5,[1]apoio_Preços_MGS!$A$6:$AN$238,25,FALSE)</f>
        <v>0</v>
      </c>
      <c r="U5" s="40">
        <f t="shared" si="3"/>
        <v>2759.6331530625002</v>
      </c>
      <c r="V5" s="41">
        <f>VLOOKUP(D5,[1]apoio_Preços_MGS!$A$6:$AN$238,27,FALSE)</f>
        <v>0.81799999999999995</v>
      </c>
      <c r="W5" s="40">
        <f t="shared" si="4"/>
        <v>2257.3799192051251</v>
      </c>
      <c r="X5" s="40">
        <f>VLOOKUP(D5,[1]apoio_Preços_MGS!$A$6:$AN$238,29,FALSE)</f>
        <v>30.014545454545452</v>
      </c>
      <c r="Y5" s="40">
        <f>VLOOKUP(D5,[1]apoio_Preços_MGS!$A$6:$AN$238,30,FALSE)</f>
        <v>23.863030303030303</v>
      </c>
      <c r="Z5" s="40">
        <f t="shared" si="5"/>
        <v>53.877575757575755</v>
      </c>
      <c r="AA5" s="40">
        <f>VLOOKUP(D5,[1]apoio_Preços_MGS!$A$6:$AN$238,32,FALSE)</f>
        <v>4.0757658876000002</v>
      </c>
      <c r="AB5" s="40">
        <f>VLOOKUP(D5,[1]apoio_Preços_MGS!$A$6:$AN$238,33,FALSE)</f>
        <v>147.63636363636363</v>
      </c>
      <c r="AC5" s="41">
        <f>VLOOKUP(D5,[1]apoio_Preços_MGS!$A$6:$AN$238,34,FALSE)</f>
        <v>0</v>
      </c>
      <c r="AD5" s="40">
        <f>(U5+W5+Z5+AB5+AA5+VLOOKUP(C5,[1]apoio_Prec_Folha!$A:$S,7,FALSE))*AC5</f>
        <v>0</v>
      </c>
      <c r="AE5" s="42">
        <f>VLOOKUP(D5,[1]apoio_Preços_MGS!$A$6:$AN$238,36,FALSE)</f>
        <v>7.0000000000000007E-2</v>
      </c>
      <c r="AF5" s="40">
        <f>(U5+W5+Z5+AB5+AD5+AA5+VLOOKUP(C5,[1]apoio_Prec_Folha!$A:$S,7,FALSE))*AE5</f>
        <v>401.83659442844163</v>
      </c>
      <c r="AG5" s="40">
        <f t="shared" si="6"/>
        <v>5624.43</v>
      </c>
      <c r="AH5" s="43">
        <f t="shared" si="7"/>
        <v>6559.09</v>
      </c>
      <c r="AI5" s="43">
        <f t="shared" si="8"/>
        <v>13118.18</v>
      </c>
      <c r="AJ5" s="43">
        <f t="shared" si="9"/>
        <v>787090.8</v>
      </c>
      <c r="AK5" s="44">
        <f>VLOOKUP(D5,[1]apoio_Preços_MGS!$A$6:$AN$238,39,FALSE)</f>
        <v>181.81818181818184</v>
      </c>
      <c r="AL5" s="44">
        <f>IF(J5="demais municípios",VLOOKUP(D5,[1]apoio_Preços_MGS!$A$6:$AN$238,39,FALSE),0)</f>
        <v>181.81818181818184</v>
      </c>
      <c r="AM5" s="44">
        <v>0</v>
      </c>
      <c r="AN5" s="45">
        <f t="shared" si="11"/>
        <v>363.63636363636368</v>
      </c>
      <c r="AO5" s="44">
        <f>VLOOKUP(D5,[1]apoio_Preços_MGS!$A$6:$AN$238,40,FALSE)</f>
        <v>517.91999999999996</v>
      </c>
      <c r="AP5" s="44">
        <f>IF(J5="demais municípios",VLOOKUP(D5,[1]apoio_Preços_MGS!$A$6:$AN$238,40,FALSE),0)</f>
        <v>517.91999999999996</v>
      </c>
      <c r="AQ5" s="44">
        <v>0</v>
      </c>
      <c r="AR5" s="45">
        <f t="shared" si="12"/>
        <v>1035.8399999999999</v>
      </c>
      <c r="AS5" s="45">
        <f t="shared" si="10"/>
        <v>1399.4763636363637</v>
      </c>
      <c r="AT5" s="45">
        <f t="shared" si="13"/>
        <v>83968.581818181818</v>
      </c>
      <c r="AU5" s="62"/>
      <c r="AV5" s="46"/>
      <c r="AW5" s="47"/>
      <c r="AX5" s="48"/>
      <c r="AY5" s="49"/>
      <c r="BA5" s="48"/>
    </row>
    <row r="6" spans="1:53" ht="19.5" customHeight="1" x14ac:dyDescent="0.25">
      <c r="A6" s="33" t="str">
        <f t="shared" si="0"/>
        <v>140970400,05</v>
      </c>
      <c r="B6" s="33" t="str">
        <f t="shared" si="1"/>
        <v>16980,05</v>
      </c>
      <c r="C6" s="34" t="str">
        <f>VLOOKUP(D6,[1]apoio_Preços_MGS!$A$6:$B$238,2,FALSE)</f>
        <v>AGENTE DE CAMPO</v>
      </c>
      <c r="D6" s="35">
        <v>1698</v>
      </c>
      <c r="E6" s="33" t="str">
        <f>VLOOKUP(D6,[1]apoio_Preços_MGS!$A$6:$F$238,6,FALSE)</f>
        <v>AGENTE DE CAMPO - (PERIC.) - DIARISTA DIURNO - 40H</v>
      </c>
      <c r="F6" s="36">
        <f>IFERROR(VLOOKUP(D6,'[1]apoio_cód catmas'!$B$2:$C$863,2,FALSE),0)</f>
        <v>140970</v>
      </c>
      <c r="G6" s="33" t="str">
        <f>IF(H6="N/A",VLOOKUP(F6&amp;40,'[1]apoio_cód catmas'!$A$1:$G$233,4,FALSE),VLOOKUP(F6&amp;H6,'[1]apoio_cód catmas'!$A$1:$G$233,4,FALSE))</f>
        <v>AGENTE DE CAMPO (PERICULOSIDADE) DIARISTA DIURNO - 40 H</v>
      </c>
      <c r="H6" s="36">
        <v>40</v>
      </c>
      <c r="I6" s="37">
        <v>0.05</v>
      </c>
      <c r="J6" s="38" t="s">
        <v>47</v>
      </c>
      <c r="K6" s="39">
        <v>6</v>
      </c>
      <c r="L6" s="39">
        <f t="shared" si="2"/>
        <v>360</v>
      </c>
      <c r="M6" s="40">
        <f>VLOOKUP(D6,[1]apoio_Preços_MGS!$A$6:$AN$238,18,FALSE)</f>
        <v>2122.7947331250002</v>
      </c>
      <c r="N6" s="40">
        <f>VLOOKUP(D6,[1]apoio_Preços_MGS!$A$6:$AN$238,19,FALSE)</f>
        <v>636.83841993750002</v>
      </c>
      <c r="O6" s="40">
        <f>VLOOKUP(D6,[1]apoio_Preços_MGS!$A$6:$AN$238,20,FALSE)</f>
        <v>0</v>
      </c>
      <c r="P6" s="40">
        <f>VLOOKUP(D6,[1]apoio_Preços_MGS!$A$6:$AN$238,21,FALSE)</f>
        <v>0</v>
      </c>
      <c r="Q6" s="40">
        <f>VLOOKUP(D6,[1]apoio_Preços_MGS!$A$6:$AN$238,22,FALSE)</f>
        <v>0</v>
      </c>
      <c r="R6" s="40">
        <f>VLOOKUP(D6,[1]apoio_Preços_MGS!$A$6:$AN$238,23,FALSE)</f>
        <v>0</v>
      </c>
      <c r="S6" s="40">
        <f>VLOOKUP(D6,[1]apoio_Preços_MGS!$A$6:$AN$238,24,FALSE)</f>
        <v>0</v>
      </c>
      <c r="T6" s="40">
        <f>VLOOKUP(D6,[1]apoio_Preços_MGS!$A$6:$AN$238,25,FALSE)</f>
        <v>0</v>
      </c>
      <c r="U6" s="40">
        <f t="shared" si="3"/>
        <v>2759.6331530625002</v>
      </c>
      <c r="V6" s="41">
        <f>VLOOKUP(D6,[1]apoio_Preços_MGS!$A$6:$AN$238,27,FALSE)</f>
        <v>0.81799999999999995</v>
      </c>
      <c r="W6" s="40">
        <f t="shared" si="4"/>
        <v>2257.3799192051251</v>
      </c>
      <c r="X6" s="40">
        <f>VLOOKUP(D6,[1]apoio_Preços_MGS!$A$6:$AN$238,29,FALSE)</f>
        <v>30.014545454545452</v>
      </c>
      <c r="Y6" s="40">
        <f>VLOOKUP(D6,[1]apoio_Preços_MGS!$A$6:$AN$238,30,FALSE)</f>
        <v>23.863030303030303</v>
      </c>
      <c r="Z6" s="40">
        <f t="shared" si="5"/>
        <v>53.877575757575755</v>
      </c>
      <c r="AA6" s="40">
        <f>VLOOKUP(D6,[1]apoio_Preços_MGS!$A$6:$AN$238,32,FALSE)</f>
        <v>4.0757658876000002</v>
      </c>
      <c r="AB6" s="40">
        <f>VLOOKUP(D6,[1]apoio_Preços_MGS!$A$6:$AN$238,33,FALSE)</f>
        <v>147.63636363636363</v>
      </c>
      <c r="AC6" s="41">
        <f>VLOOKUP(D6,[1]apoio_Preços_MGS!$A$6:$AN$238,34,FALSE)</f>
        <v>0</v>
      </c>
      <c r="AD6" s="40">
        <f>(U6+W6+Z6+AB6+AA6+VLOOKUP(C6,[1]apoio_Prec_Folha!$A:$S,7,FALSE))*AC6</f>
        <v>0</v>
      </c>
      <c r="AE6" s="42">
        <f>VLOOKUP(D6,[1]apoio_Preços_MGS!$A$6:$AN$238,36,FALSE)</f>
        <v>7.0000000000000007E-2</v>
      </c>
      <c r="AF6" s="40">
        <f>(U6+W6+Z6+AB6+AD6+AA6+VLOOKUP(C6,[1]apoio_Prec_Folha!$A:$S,7,FALSE))*AE6</f>
        <v>401.83659442844163</v>
      </c>
      <c r="AG6" s="40">
        <f t="shared" si="6"/>
        <v>5624.43</v>
      </c>
      <c r="AH6" s="43">
        <f t="shared" si="7"/>
        <v>6559.09</v>
      </c>
      <c r="AI6" s="43">
        <f t="shared" si="8"/>
        <v>39354.54</v>
      </c>
      <c r="AJ6" s="43">
        <f t="shared" si="9"/>
        <v>2361272.4</v>
      </c>
      <c r="AK6" s="44">
        <f>VLOOKUP(D6,[1]apoio_Preços_MGS!$A$6:$AN$238,39,FALSE)</f>
        <v>181.81818181818184</v>
      </c>
      <c r="AL6" s="44">
        <f>IF(J6="demais municípios",VLOOKUP(D6,[1]apoio_Preços_MGS!$A$6:$AN$238,39,FALSE),0)</f>
        <v>0</v>
      </c>
      <c r="AM6" s="44">
        <f>TRUNC(ROUND(($I6)/(1-($I6)),5)*VLOOKUP(D6,[1]apoio_Preços_MGS!$A$6:$AN$238,39,FALSE)+VLOOKUP(D6,[1]apoio_Preços_MGS!$A$6:$AN$238,39,FALSE),2)</f>
        <v>191.38</v>
      </c>
      <c r="AN6" s="45">
        <f t="shared" ref="AN6:AN63" si="14">AM6*K6</f>
        <v>1148.28</v>
      </c>
      <c r="AO6" s="44">
        <f>VLOOKUP(D6,[1]apoio_Preços_MGS!$A$6:$AN$238,40,FALSE)</f>
        <v>517.91999999999996</v>
      </c>
      <c r="AP6" s="44">
        <f>IF(J6="demais municípios",VLOOKUP(D6,[1]apoio_Preços_MGS!$A$6:$AN$238,40,FALSE),0)</f>
        <v>0</v>
      </c>
      <c r="AQ6" s="44">
        <f>TRUNC(ROUND(($I6)/(1-($I6)),5)*VLOOKUP(D6,[1]apoio_Preços_MGS!$A$6:$AN$238,40,FALSE)+VLOOKUP(D6,[1]apoio_Preços_MGS!$A$6:$AN$238,40,FALSE),2)</f>
        <v>545.16999999999996</v>
      </c>
      <c r="AR6" s="45">
        <f t="shared" ref="AR6:AR63" si="15">AQ6*K6</f>
        <v>3271.0199999999995</v>
      </c>
      <c r="AS6" s="45">
        <f t="shared" si="10"/>
        <v>4419.2999999999993</v>
      </c>
      <c r="AT6" s="45">
        <f t="shared" si="13"/>
        <v>265157.99999999994</v>
      </c>
      <c r="AU6" s="62"/>
      <c r="AV6" s="46"/>
      <c r="AW6" s="47"/>
      <c r="AX6" s="48"/>
      <c r="AY6" s="49"/>
      <c r="BA6" s="48"/>
    </row>
    <row r="7" spans="1:53" ht="19.5" customHeight="1" x14ac:dyDescent="0.25">
      <c r="A7" s="33" t="str">
        <f t="shared" si="0"/>
        <v>141615400,03</v>
      </c>
      <c r="B7" s="33" t="str">
        <f t="shared" si="1"/>
        <v>16990,03</v>
      </c>
      <c r="C7" s="34" t="str">
        <f>VLOOKUP(D7,[1]apoio_Preços_MGS!$A$6:$B$238,2,FALSE)</f>
        <v>AGENTE DE CAMPO</v>
      </c>
      <c r="D7" s="35">
        <v>1699</v>
      </c>
      <c r="E7" s="33" t="str">
        <f>VLOOKUP(D7,[1]apoio_Preços_MGS!$A$6:$F$238,6,FALSE)</f>
        <v>AGENTE DE CAMPO - DIARISTA DIURNO - 40H</v>
      </c>
      <c r="F7" s="36">
        <f>IFERROR(VLOOKUP(D7,'[1]apoio_cód catmas'!$B$2:$C$863,2,FALSE),0)</f>
        <v>141615</v>
      </c>
      <c r="G7" s="33" t="str">
        <f>IF(H7="N/A",VLOOKUP(F7&amp;40,'[1]apoio_cód catmas'!$A$1:$G$233,4,FALSE),VLOOKUP(F7&amp;H7,'[1]apoio_cód catmas'!$A$1:$G$233,4,FALSE))</f>
        <v>AGENTE DE CAMPO - (SEM PERICULOSIDADE) - DIARISTA DIURNO - 40 HORAS</v>
      </c>
      <c r="H7" s="36">
        <v>40</v>
      </c>
      <c r="I7" s="37">
        <v>0.03</v>
      </c>
      <c r="J7" s="38" t="s">
        <v>46</v>
      </c>
      <c r="K7" s="39">
        <v>1</v>
      </c>
      <c r="L7" s="39">
        <f t="shared" si="2"/>
        <v>60</v>
      </c>
      <c r="M7" s="40">
        <f>VLOOKUP(D7,[1]apoio_Preços_MGS!$A$6:$AN$238,18,FALSE)</f>
        <v>2122.7947331250002</v>
      </c>
      <c r="N7" s="40">
        <f>VLOOKUP(D7,[1]apoio_Preços_MGS!$A$6:$AN$238,19,FALSE)</f>
        <v>0</v>
      </c>
      <c r="O7" s="40">
        <f>VLOOKUP(D7,[1]apoio_Preços_MGS!$A$6:$AN$238,20,FALSE)</f>
        <v>0</v>
      </c>
      <c r="P7" s="40">
        <f>VLOOKUP(D7,[1]apoio_Preços_MGS!$A$6:$AN$238,21,FALSE)</f>
        <v>0</v>
      </c>
      <c r="Q7" s="40">
        <f>VLOOKUP(D7,[1]apoio_Preços_MGS!$A$6:$AN$238,22,FALSE)</f>
        <v>0</v>
      </c>
      <c r="R7" s="40">
        <f>VLOOKUP(D7,[1]apoio_Preços_MGS!$A$6:$AN$238,23,FALSE)</f>
        <v>0</v>
      </c>
      <c r="S7" s="40">
        <f>VLOOKUP(D7,[1]apoio_Preços_MGS!$A$6:$AN$238,24,FALSE)</f>
        <v>0</v>
      </c>
      <c r="T7" s="40">
        <f>VLOOKUP(D7,[1]apoio_Preços_MGS!$A$6:$AN$238,25,FALSE)</f>
        <v>0</v>
      </c>
      <c r="U7" s="40">
        <f t="shared" si="3"/>
        <v>2122.7947331250002</v>
      </c>
      <c r="V7" s="41">
        <f>VLOOKUP(D7,[1]apoio_Preços_MGS!$A$6:$AN$238,27,FALSE)</f>
        <v>0.81799999999999995</v>
      </c>
      <c r="W7" s="40">
        <f t="shared" si="4"/>
        <v>1736.4460916962501</v>
      </c>
      <c r="X7" s="40">
        <f>VLOOKUP(D7,[1]apoio_Preços_MGS!$A$6:$AN$238,29,FALSE)</f>
        <v>30.014545454545452</v>
      </c>
      <c r="Y7" s="40">
        <f>VLOOKUP(D7,[1]apoio_Preços_MGS!$A$6:$AN$238,30,FALSE)</f>
        <v>23.863030303030303</v>
      </c>
      <c r="Z7" s="40">
        <f t="shared" si="5"/>
        <v>53.877575757575755</v>
      </c>
      <c r="AA7" s="40">
        <f>VLOOKUP(D7,[1]apoio_Preços_MGS!$A$6:$AN$238,32,FALSE)</f>
        <v>4.0757658876000002</v>
      </c>
      <c r="AB7" s="40">
        <f>VLOOKUP(D7,[1]apoio_Preços_MGS!$A$6:$AN$238,33,FALSE)</f>
        <v>147.63636363636363</v>
      </c>
      <c r="AC7" s="41">
        <f>VLOOKUP(D7,[1]apoio_Preços_MGS!$A$6:$AN$238,34,FALSE)</f>
        <v>0</v>
      </c>
      <c r="AD7" s="40">
        <f>(U7+W7+Z7+AB7+AA7+VLOOKUP(C7,[1]apoio_Prec_Folha!$A:$S,7,FALSE))*AC7</f>
        <v>0</v>
      </c>
      <c r="AE7" s="42">
        <f>VLOOKUP(D7,[1]apoio_Preços_MGS!$A$6:$AN$238,36,FALSE)</f>
        <v>7.0000000000000007E-2</v>
      </c>
      <c r="AF7" s="40">
        <f>(U7+W7+Z7+AB7+AD7+AA7+VLOOKUP(C7,[1]apoio_Prec_Folha!$A:$S,7,FALSE))*AE7</f>
        <v>320.79253710719536</v>
      </c>
      <c r="AG7" s="40">
        <f t="shared" si="6"/>
        <v>4385.62</v>
      </c>
      <c r="AH7" s="43">
        <f t="shared" si="7"/>
        <v>4997.8500000000004</v>
      </c>
      <c r="AI7" s="43">
        <f t="shared" si="8"/>
        <v>4997.8500000000004</v>
      </c>
      <c r="AJ7" s="43">
        <f t="shared" si="9"/>
        <v>299871</v>
      </c>
      <c r="AK7" s="44">
        <f>VLOOKUP(D7,[1]apoio_Preços_MGS!$A$6:$AN$238,39,FALSE)</f>
        <v>181.81818181818184</v>
      </c>
      <c r="AL7" s="44">
        <f>IF(J7="demais municípios",VLOOKUP(D7,[1]apoio_Preços_MGS!$A$6:$AN$238,39,FALSE),0)</f>
        <v>181.81818181818184</v>
      </c>
      <c r="AM7" s="44">
        <v>0</v>
      </c>
      <c r="AN7" s="45">
        <f t="shared" ref="AN7:AN16" si="16">AK7*K7</f>
        <v>181.81818181818184</v>
      </c>
      <c r="AO7" s="44">
        <f>VLOOKUP(D7,[1]apoio_Preços_MGS!$A$6:$AN$238,40,FALSE)</f>
        <v>517.91999999999996</v>
      </c>
      <c r="AP7" s="44">
        <f>IF(J7="demais municípios",VLOOKUP(D7,[1]apoio_Preços_MGS!$A$6:$AN$238,40,FALSE),0)</f>
        <v>517.91999999999996</v>
      </c>
      <c r="AQ7" s="44">
        <v>0</v>
      </c>
      <c r="AR7" s="45">
        <f t="shared" ref="AR7:AR16" si="17">AO7*K7</f>
        <v>517.91999999999996</v>
      </c>
      <c r="AS7" s="45">
        <f t="shared" si="10"/>
        <v>699.73818181818183</v>
      </c>
      <c r="AT7" s="45">
        <f t="shared" si="13"/>
        <v>41984.290909090909</v>
      </c>
      <c r="AU7" s="62"/>
      <c r="AV7" s="46"/>
      <c r="AW7" s="47"/>
      <c r="AX7" s="48"/>
      <c r="AY7" s="49"/>
      <c r="BA7" s="48"/>
    </row>
    <row r="8" spans="1:53" ht="19.5" customHeight="1" x14ac:dyDescent="0.25">
      <c r="A8" s="33" t="str">
        <f t="shared" si="0"/>
        <v>95117440,02</v>
      </c>
      <c r="B8" s="33" t="str">
        <f t="shared" si="1"/>
        <v>3890,02</v>
      </c>
      <c r="C8" s="34" t="str">
        <f>VLOOKUP(D8,[1]apoio_Preços_MGS!$A$6:$B$238,2,FALSE)</f>
        <v>AGENTE DE SERVIÇO DE PARQUE HABILITADO</v>
      </c>
      <c r="D8" s="35">
        <v>389</v>
      </c>
      <c r="E8" s="33" t="str">
        <f>VLOOKUP(D8,[1]apoio_Preços_MGS!$A$6:$F$238,6,FALSE)</f>
        <v>AGENTE DE SERVIÇO DE PARQUE HABILITADO - (PERIC.) - DIARISTA DIURNO - 44H</v>
      </c>
      <c r="F8" s="36">
        <f>IFERROR(VLOOKUP(D8,'[1]apoio_cód catmas'!$B$2:$C$863,2,FALSE),0)</f>
        <v>95117</v>
      </c>
      <c r="G8" s="33" t="str">
        <f>IF(H8="N/A",VLOOKUP(F8&amp;40,'[1]apoio_cód catmas'!$A$1:$G$233,4,FALSE),VLOOKUP(F8&amp;H8,'[1]apoio_cód catmas'!$A$1:$G$233,4,FALSE))</f>
        <v>AGENTE DE SERVICO DE PARQUE HABILITADO - (PERICULOSIDADE) - 44H</v>
      </c>
      <c r="H8" s="36">
        <v>44</v>
      </c>
      <c r="I8" s="37">
        <v>0.02</v>
      </c>
      <c r="J8" s="38" t="s">
        <v>46</v>
      </c>
      <c r="K8" s="39">
        <v>32</v>
      </c>
      <c r="L8" s="39">
        <f t="shared" si="2"/>
        <v>1920</v>
      </c>
      <c r="M8" s="40">
        <f>VLOOKUP(D8,[1]apoio_Preços_MGS!$A$6:$AN$238,18,FALSE)</f>
        <v>2150.6883989049652</v>
      </c>
      <c r="N8" s="40">
        <f>VLOOKUP(D8,[1]apoio_Preços_MGS!$A$6:$AN$238,19,FALSE)</f>
        <v>645.20651967148956</v>
      </c>
      <c r="O8" s="40">
        <f>VLOOKUP(D8,[1]apoio_Preços_MGS!$A$6:$AN$238,20,FALSE)</f>
        <v>0</v>
      </c>
      <c r="P8" s="40">
        <f>VLOOKUP(D8,[1]apoio_Preços_MGS!$A$6:$AN$238,21,FALSE)</f>
        <v>0</v>
      </c>
      <c r="Q8" s="40">
        <f>VLOOKUP(D8,[1]apoio_Preços_MGS!$A$6:$AN$238,22,FALSE)</f>
        <v>0</v>
      </c>
      <c r="R8" s="40">
        <f>VLOOKUP(D8,[1]apoio_Preços_MGS!$A$6:$AN$238,23,FALSE)</f>
        <v>0</v>
      </c>
      <c r="S8" s="40">
        <f>VLOOKUP(D8,[1]apoio_Preços_MGS!$A$6:$AN$238,24,FALSE)</f>
        <v>0</v>
      </c>
      <c r="T8" s="40">
        <f>VLOOKUP(D8,[1]apoio_Preços_MGS!$A$6:$AN$238,25,FALSE)</f>
        <v>0</v>
      </c>
      <c r="U8" s="40">
        <f t="shared" si="3"/>
        <v>2795.894918576455</v>
      </c>
      <c r="V8" s="41">
        <f>VLOOKUP(D8,[1]apoio_Preços_MGS!$A$6:$AN$238,27,FALSE)</f>
        <v>0.81799999999999995</v>
      </c>
      <c r="W8" s="40">
        <f t="shared" si="4"/>
        <v>2287.0420433955401</v>
      </c>
      <c r="X8" s="40">
        <f>VLOOKUP(D8,[1]apoio_Preços_MGS!$A$6:$AN$238,29,FALSE)</f>
        <v>30.014545454545452</v>
      </c>
      <c r="Y8" s="40">
        <f>VLOOKUP(D8,[1]apoio_Preços_MGS!$A$6:$AN$238,30,FALSE)</f>
        <v>282.32043012772351</v>
      </c>
      <c r="Z8" s="40">
        <f t="shared" si="5"/>
        <v>312.33497558226895</v>
      </c>
      <c r="AA8" s="40">
        <f>VLOOKUP(D8,[1]apoio_Preços_MGS!$A$6:$AN$238,32,FALSE)</f>
        <v>4.1293217258975332</v>
      </c>
      <c r="AB8" s="40">
        <f>VLOOKUP(D8,[1]apoio_Preços_MGS!$A$6:$AN$238,33,FALSE)</f>
        <v>281.74150413223134</v>
      </c>
      <c r="AC8" s="41">
        <f>VLOOKUP(D8,[1]apoio_Preços_MGS!$A$6:$AN$238,34,FALSE)</f>
        <v>0</v>
      </c>
      <c r="AD8" s="40">
        <f>(U8+W8+Z8+AB8+AA8+VLOOKUP(C8,[1]apoio_Prec_Folha!$A:$S,7,FALSE))*AC8</f>
        <v>0</v>
      </c>
      <c r="AE8" s="42">
        <f>VLOOKUP(D8,[1]apoio_Preços_MGS!$A$6:$AN$238,36,FALSE)</f>
        <v>7.0000000000000007E-2</v>
      </c>
      <c r="AF8" s="40">
        <f>(U8+W8+Z8+AB8+AD8+AA8+VLOOKUP(C8,[1]apoio_Prec_Folha!$A:$S,7,FALSE))*AE8</f>
        <v>436.13481162068575</v>
      </c>
      <c r="AG8" s="40">
        <f t="shared" si="6"/>
        <v>6117.27</v>
      </c>
      <c r="AH8" s="43">
        <f t="shared" si="7"/>
        <v>6892.69</v>
      </c>
      <c r="AI8" s="43">
        <f t="shared" si="8"/>
        <v>220566.08</v>
      </c>
      <c r="AJ8" s="43">
        <f t="shared" si="9"/>
        <v>13233964.799999999</v>
      </c>
      <c r="AK8" s="44">
        <f>VLOOKUP(D8,[1]apoio_Preços_MGS!$A$6:$AN$238,39,FALSE)</f>
        <v>200.00000000000003</v>
      </c>
      <c r="AL8" s="44">
        <f>IF(J8="demais municípios",VLOOKUP(D8,[1]apoio_Preços_MGS!$A$6:$AN$238,39,FALSE),0)</f>
        <v>200.00000000000003</v>
      </c>
      <c r="AM8" s="44">
        <v>0</v>
      </c>
      <c r="AN8" s="45">
        <f t="shared" si="16"/>
        <v>6400.0000000000009</v>
      </c>
      <c r="AO8" s="44">
        <f>VLOOKUP(D8,[1]apoio_Preços_MGS!$A$6:$AN$238,40,FALSE)</f>
        <v>549.35</v>
      </c>
      <c r="AP8" s="44">
        <f>IF(J8="demais municípios",VLOOKUP(D8,[1]apoio_Preços_MGS!$A$6:$AN$238,40,FALSE),0)</f>
        <v>549.35</v>
      </c>
      <c r="AQ8" s="44">
        <v>0</v>
      </c>
      <c r="AR8" s="45">
        <f t="shared" si="17"/>
        <v>17579.2</v>
      </c>
      <c r="AS8" s="45">
        <f t="shared" si="10"/>
        <v>23979.200000000001</v>
      </c>
      <c r="AT8" s="45">
        <f t="shared" si="13"/>
        <v>1438752</v>
      </c>
      <c r="AU8" s="62"/>
      <c r="AV8" s="46"/>
      <c r="AW8" s="47"/>
      <c r="AX8" s="48"/>
      <c r="AY8" s="49"/>
      <c r="BA8" s="48"/>
    </row>
    <row r="9" spans="1:53" ht="19.5" customHeight="1" x14ac:dyDescent="0.25">
      <c r="A9" s="33" t="str">
        <f t="shared" si="0"/>
        <v>95117440,025</v>
      </c>
      <c r="B9" s="33" t="str">
        <f t="shared" si="1"/>
        <v>3890,025</v>
      </c>
      <c r="C9" s="34" t="str">
        <f>VLOOKUP(D9,[1]apoio_Preços_MGS!$A$6:$B$238,2,FALSE)</f>
        <v>AGENTE DE SERVIÇO DE PARQUE HABILITADO</v>
      </c>
      <c r="D9" s="35">
        <v>389</v>
      </c>
      <c r="E9" s="33" t="str">
        <f>VLOOKUP(D9,[1]apoio_Preços_MGS!$A$6:$F$238,6,FALSE)</f>
        <v>AGENTE DE SERVIÇO DE PARQUE HABILITADO - (PERIC.) - DIARISTA DIURNO - 44H</v>
      </c>
      <c r="F9" s="36">
        <f>IFERROR(VLOOKUP(D9,'[1]apoio_cód catmas'!$B$2:$C$863,2,FALSE),0)</f>
        <v>95117</v>
      </c>
      <c r="G9" s="33" t="str">
        <f>IF(H9="N/A",VLOOKUP(F9&amp;40,'[1]apoio_cód catmas'!$A$1:$G$233,4,FALSE),VLOOKUP(F9&amp;H9,'[1]apoio_cód catmas'!$A$1:$G$233,4,FALSE))</f>
        <v>AGENTE DE SERVICO DE PARQUE HABILITADO - (PERICULOSIDADE) - 44H</v>
      </c>
      <c r="H9" s="36">
        <v>44</v>
      </c>
      <c r="I9" s="37">
        <v>2.5000000000000001E-2</v>
      </c>
      <c r="J9" s="38" t="s">
        <v>46</v>
      </c>
      <c r="K9" s="39">
        <v>1</v>
      </c>
      <c r="L9" s="39">
        <f t="shared" si="2"/>
        <v>60</v>
      </c>
      <c r="M9" s="40">
        <f>VLOOKUP(D9,[1]apoio_Preços_MGS!$A$6:$AN$238,18,FALSE)</f>
        <v>2150.6883989049652</v>
      </c>
      <c r="N9" s="40">
        <f>VLOOKUP(D9,[1]apoio_Preços_MGS!$A$6:$AN$238,19,FALSE)</f>
        <v>645.20651967148956</v>
      </c>
      <c r="O9" s="40">
        <f>VLOOKUP(D9,[1]apoio_Preços_MGS!$A$6:$AN$238,20,FALSE)</f>
        <v>0</v>
      </c>
      <c r="P9" s="40">
        <f>VLOOKUP(D9,[1]apoio_Preços_MGS!$A$6:$AN$238,21,FALSE)</f>
        <v>0</v>
      </c>
      <c r="Q9" s="40">
        <f>VLOOKUP(D9,[1]apoio_Preços_MGS!$A$6:$AN$238,22,FALSE)</f>
        <v>0</v>
      </c>
      <c r="R9" s="40">
        <f>VLOOKUP(D9,[1]apoio_Preços_MGS!$A$6:$AN$238,23,FALSE)</f>
        <v>0</v>
      </c>
      <c r="S9" s="40">
        <f>VLOOKUP(D9,[1]apoio_Preços_MGS!$A$6:$AN$238,24,FALSE)</f>
        <v>0</v>
      </c>
      <c r="T9" s="40">
        <f>VLOOKUP(D9,[1]apoio_Preços_MGS!$A$6:$AN$238,25,FALSE)</f>
        <v>0</v>
      </c>
      <c r="U9" s="40">
        <f t="shared" si="3"/>
        <v>2795.894918576455</v>
      </c>
      <c r="V9" s="41">
        <f>VLOOKUP(D9,[1]apoio_Preços_MGS!$A$6:$AN$238,27,FALSE)</f>
        <v>0.81799999999999995</v>
      </c>
      <c r="W9" s="40">
        <f t="shared" si="4"/>
        <v>2287.0420433955401</v>
      </c>
      <c r="X9" s="40">
        <f>VLOOKUP(D9,[1]apoio_Preços_MGS!$A$6:$AN$238,29,FALSE)</f>
        <v>30.014545454545452</v>
      </c>
      <c r="Y9" s="40">
        <f>VLOOKUP(D9,[1]apoio_Preços_MGS!$A$6:$AN$238,30,FALSE)</f>
        <v>282.32043012772351</v>
      </c>
      <c r="Z9" s="40">
        <f t="shared" si="5"/>
        <v>312.33497558226895</v>
      </c>
      <c r="AA9" s="40">
        <f>VLOOKUP(D9,[1]apoio_Preços_MGS!$A$6:$AN$238,32,FALSE)</f>
        <v>4.1293217258975332</v>
      </c>
      <c r="AB9" s="40">
        <f>VLOOKUP(D9,[1]apoio_Preços_MGS!$A$6:$AN$238,33,FALSE)</f>
        <v>281.74150413223134</v>
      </c>
      <c r="AC9" s="41">
        <f>VLOOKUP(D9,[1]apoio_Preços_MGS!$A$6:$AN$238,34,FALSE)</f>
        <v>0</v>
      </c>
      <c r="AD9" s="40">
        <f>(U9+W9+Z9+AB9+AA9+VLOOKUP(C9,[1]apoio_Prec_Folha!$A:$S,7,FALSE))*AC9</f>
        <v>0</v>
      </c>
      <c r="AE9" s="42">
        <f>VLOOKUP(D9,[1]apoio_Preços_MGS!$A$6:$AN$238,36,FALSE)</f>
        <v>7.0000000000000007E-2</v>
      </c>
      <c r="AF9" s="40">
        <f>(U9+W9+Z9+AB9+AD9+AA9+VLOOKUP(C9,[1]apoio_Prec_Folha!$A:$S,7,FALSE))*AE9</f>
        <v>436.13481162068575</v>
      </c>
      <c r="AG9" s="40">
        <f t="shared" si="6"/>
        <v>6117.27</v>
      </c>
      <c r="AH9" s="43">
        <f t="shared" si="7"/>
        <v>6931.72</v>
      </c>
      <c r="AI9" s="43">
        <f t="shared" si="8"/>
        <v>6931.72</v>
      </c>
      <c r="AJ9" s="43">
        <f t="shared" si="9"/>
        <v>415903.2</v>
      </c>
      <c r="AK9" s="44">
        <f>VLOOKUP(D9,[1]apoio_Preços_MGS!$A$6:$AN$238,39,FALSE)</f>
        <v>200.00000000000003</v>
      </c>
      <c r="AL9" s="44">
        <f>IF(J9="demais municípios",VLOOKUP(D9,[1]apoio_Preços_MGS!$A$6:$AN$238,39,FALSE),0)</f>
        <v>200.00000000000003</v>
      </c>
      <c r="AM9" s="44">
        <v>0</v>
      </c>
      <c r="AN9" s="45">
        <f t="shared" si="16"/>
        <v>200.00000000000003</v>
      </c>
      <c r="AO9" s="44">
        <f>VLOOKUP(D9,[1]apoio_Preços_MGS!$A$6:$AN$238,40,FALSE)</f>
        <v>549.35</v>
      </c>
      <c r="AP9" s="44">
        <f>IF(J9="demais municípios",VLOOKUP(D9,[1]apoio_Preços_MGS!$A$6:$AN$238,40,FALSE),0)</f>
        <v>549.35</v>
      </c>
      <c r="AQ9" s="44">
        <v>0</v>
      </c>
      <c r="AR9" s="45">
        <f t="shared" si="17"/>
        <v>549.35</v>
      </c>
      <c r="AS9" s="45">
        <f t="shared" si="10"/>
        <v>749.35</v>
      </c>
      <c r="AT9" s="45">
        <f t="shared" si="13"/>
        <v>44961</v>
      </c>
      <c r="AU9" s="62"/>
      <c r="AV9" s="46"/>
      <c r="AW9" s="47"/>
      <c r="AX9" s="48"/>
      <c r="AY9" s="49"/>
      <c r="BA9" s="48"/>
    </row>
    <row r="10" spans="1:53" ht="19.5" customHeight="1" x14ac:dyDescent="0.25">
      <c r="A10" s="33" t="str">
        <f t="shared" si="0"/>
        <v>95117440,027</v>
      </c>
      <c r="B10" s="33" t="str">
        <f t="shared" si="1"/>
        <v>3890,027</v>
      </c>
      <c r="C10" s="34" t="str">
        <f>VLOOKUP(D10,[1]apoio_Preços_MGS!$A$6:$B$238,2,FALSE)</f>
        <v>AGENTE DE SERVIÇO DE PARQUE HABILITADO</v>
      </c>
      <c r="D10" s="35">
        <v>389</v>
      </c>
      <c r="E10" s="33" t="str">
        <f>VLOOKUP(D10,[1]apoio_Preços_MGS!$A$6:$F$238,6,FALSE)</f>
        <v>AGENTE DE SERVIÇO DE PARQUE HABILITADO - (PERIC.) - DIARISTA DIURNO - 44H</v>
      </c>
      <c r="F10" s="36">
        <f>IFERROR(VLOOKUP(D10,'[1]apoio_cód catmas'!$B$2:$C$863,2,FALSE),0)</f>
        <v>95117</v>
      </c>
      <c r="G10" s="33" t="str">
        <f>IF(H10="N/A",VLOOKUP(F10&amp;40,'[1]apoio_cód catmas'!$A$1:$G$233,4,FALSE),VLOOKUP(F10&amp;H10,'[1]apoio_cód catmas'!$A$1:$G$233,4,FALSE))</f>
        <v>AGENTE DE SERVICO DE PARQUE HABILITADO - (PERICULOSIDADE) - 44H</v>
      </c>
      <c r="H10" s="36">
        <v>44</v>
      </c>
      <c r="I10" s="37">
        <v>2.7E-2</v>
      </c>
      <c r="J10" s="38" t="s">
        <v>46</v>
      </c>
      <c r="K10" s="39">
        <v>1</v>
      </c>
      <c r="L10" s="39">
        <v>56</v>
      </c>
      <c r="M10" s="40">
        <f>VLOOKUP(D10,[1]apoio_Preços_MGS!$A$6:$AN$238,18,FALSE)</f>
        <v>2150.6883989049652</v>
      </c>
      <c r="N10" s="40">
        <f>VLOOKUP(D10,[1]apoio_Preços_MGS!$A$6:$AN$238,19,FALSE)</f>
        <v>645.20651967148956</v>
      </c>
      <c r="O10" s="40">
        <f>VLOOKUP(D10,[1]apoio_Preços_MGS!$A$6:$AN$238,20,FALSE)</f>
        <v>0</v>
      </c>
      <c r="P10" s="40">
        <f>VLOOKUP(D10,[1]apoio_Preços_MGS!$A$6:$AN$238,21,FALSE)</f>
        <v>0</v>
      </c>
      <c r="Q10" s="40">
        <f>VLOOKUP(D10,[1]apoio_Preços_MGS!$A$6:$AN$238,22,FALSE)</f>
        <v>0</v>
      </c>
      <c r="R10" s="40">
        <f>VLOOKUP(D10,[1]apoio_Preços_MGS!$A$6:$AN$238,23,FALSE)</f>
        <v>0</v>
      </c>
      <c r="S10" s="40">
        <f>VLOOKUP(D10,[1]apoio_Preços_MGS!$A$6:$AN$238,24,FALSE)</f>
        <v>0</v>
      </c>
      <c r="T10" s="40">
        <f>VLOOKUP(D10,[1]apoio_Preços_MGS!$A$6:$AN$238,25,FALSE)</f>
        <v>0</v>
      </c>
      <c r="U10" s="40">
        <f t="shared" si="3"/>
        <v>2795.894918576455</v>
      </c>
      <c r="V10" s="41">
        <f>VLOOKUP(D10,[1]apoio_Preços_MGS!$A$6:$AN$238,27,FALSE)</f>
        <v>0.81799999999999995</v>
      </c>
      <c r="W10" s="40">
        <f t="shared" si="4"/>
        <v>2287.0420433955401</v>
      </c>
      <c r="X10" s="40">
        <f>VLOOKUP(D10,[1]apoio_Preços_MGS!$A$6:$AN$238,29,FALSE)</f>
        <v>30.014545454545452</v>
      </c>
      <c r="Y10" s="40">
        <f>VLOOKUP(D10,[1]apoio_Preços_MGS!$A$6:$AN$238,30,FALSE)</f>
        <v>282.32043012772351</v>
      </c>
      <c r="Z10" s="40">
        <f t="shared" si="5"/>
        <v>312.33497558226895</v>
      </c>
      <c r="AA10" s="40">
        <f>VLOOKUP(D10,[1]apoio_Preços_MGS!$A$6:$AN$238,32,FALSE)</f>
        <v>4.1293217258975332</v>
      </c>
      <c r="AB10" s="40">
        <f>VLOOKUP(D10,[1]apoio_Preços_MGS!$A$6:$AN$238,33,FALSE)</f>
        <v>281.74150413223134</v>
      </c>
      <c r="AC10" s="41">
        <f>VLOOKUP(D10,[1]apoio_Preços_MGS!$A$6:$AN$238,34,FALSE)</f>
        <v>0</v>
      </c>
      <c r="AD10" s="40">
        <f>(U10+W10+Z10+AB10+AA10+VLOOKUP(C10,[1]apoio_Prec_Folha!$A:$S,7,FALSE))*AC10</f>
        <v>0</v>
      </c>
      <c r="AE10" s="42">
        <f>VLOOKUP(D10,[1]apoio_Preços_MGS!$A$6:$AN$238,36,FALSE)</f>
        <v>7.0000000000000007E-2</v>
      </c>
      <c r="AF10" s="40">
        <f>(U10+W10+Z10+AB10+AD10+AA10+VLOOKUP(C10,[1]apoio_Prec_Folha!$A:$S,7,FALSE))*AE10</f>
        <v>436.13481162068575</v>
      </c>
      <c r="AG10" s="40">
        <f t="shared" si="6"/>
        <v>6117.27</v>
      </c>
      <c r="AH10" s="43">
        <f t="shared" si="7"/>
        <v>6947.5</v>
      </c>
      <c r="AI10" s="43">
        <f t="shared" si="8"/>
        <v>6947.5</v>
      </c>
      <c r="AJ10" s="43">
        <f t="shared" si="9"/>
        <v>389060</v>
      </c>
      <c r="AK10" s="44">
        <f>VLOOKUP(D10,[1]apoio_Preços_MGS!$A$6:$AN$238,39,FALSE)</f>
        <v>200.00000000000003</v>
      </c>
      <c r="AL10" s="44">
        <f>IF(J10="demais municípios",VLOOKUP(D10,[1]apoio_Preços_MGS!$A$6:$AN$238,39,FALSE),0)</f>
        <v>200.00000000000003</v>
      </c>
      <c r="AM10" s="44">
        <v>0</v>
      </c>
      <c r="AN10" s="45">
        <f t="shared" si="16"/>
        <v>200.00000000000003</v>
      </c>
      <c r="AO10" s="44">
        <f>VLOOKUP(D10,[1]apoio_Preços_MGS!$A$6:$AN$238,40,FALSE)</f>
        <v>549.35</v>
      </c>
      <c r="AP10" s="44">
        <f>IF(J10="demais municípios",VLOOKUP(D10,[1]apoio_Preços_MGS!$A$6:$AN$238,40,FALSE),0)</f>
        <v>549.35</v>
      </c>
      <c r="AQ10" s="44">
        <v>0</v>
      </c>
      <c r="AR10" s="45">
        <f t="shared" si="17"/>
        <v>549.35</v>
      </c>
      <c r="AS10" s="45">
        <f t="shared" si="10"/>
        <v>749.35</v>
      </c>
      <c r="AT10" s="45">
        <f t="shared" si="13"/>
        <v>44961</v>
      </c>
      <c r="AU10" s="62"/>
      <c r="AV10" s="46"/>
      <c r="AW10" s="47"/>
      <c r="AX10" s="48"/>
      <c r="AY10" s="49"/>
      <c r="BA10" s="48"/>
    </row>
    <row r="11" spans="1:53" ht="19.5" customHeight="1" x14ac:dyDescent="0.25">
      <c r="A11" s="33" t="str">
        <f t="shared" si="0"/>
        <v>95117440,03</v>
      </c>
      <c r="B11" s="33" t="str">
        <f t="shared" si="1"/>
        <v>3890,03</v>
      </c>
      <c r="C11" s="34" t="str">
        <f>VLOOKUP(D11,[1]apoio_Preços_MGS!$A$6:$B$238,2,FALSE)</f>
        <v>AGENTE DE SERVIÇO DE PARQUE HABILITADO</v>
      </c>
      <c r="D11" s="35">
        <v>389</v>
      </c>
      <c r="E11" s="33" t="str">
        <f>VLOOKUP(D11,[1]apoio_Preços_MGS!$A$6:$F$238,6,FALSE)</f>
        <v>AGENTE DE SERVIÇO DE PARQUE HABILITADO - (PERIC.) - DIARISTA DIURNO - 44H</v>
      </c>
      <c r="F11" s="36">
        <f>IFERROR(VLOOKUP(D11,'[1]apoio_cód catmas'!$B$2:$C$863,2,FALSE),0)</f>
        <v>95117</v>
      </c>
      <c r="G11" s="33" t="str">
        <f>IF(H11="N/A",VLOOKUP(F11&amp;40,'[1]apoio_cód catmas'!$A$1:$G$233,4,FALSE),VLOOKUP(F11&amp;H11,'[1]apoio_cód catmas'!$A$1:$G$233,4,FALSE))</f>
        <v>AGENTE DE SERVICO DE PARQUE HABILITADO - (PERICULOSIDADE) - 44H</v>
      </c>
      <c r="H11" s="36">
        <v>44</v>
      </c>
      <c r="I11" s="37">
        <v>0.03</v>
      </c>
      <c r="J11" s="38" t="s">
        <v>46</v>
      </c>
      <c r="K11" s="39">
        <f>54-2+3</f>
        <v>55</v>
      </c>
      <c r="L11" s="39">
        <f t="shared" si="2"/>
        <v>3300</v>
      </c>
      <c r="M11" s="40">
        <f>VLOOKUP(D11,[1]apoio_Preços_MGS!$A$6:$AN$238,18,FALSE)</f>
        <v>2150.6883989049652</v>
      </c>
      <c r="N11" s="40">
        <f>VLOOKUP(D11,[1]apoio_Preços_MGS!$A$6:$AN$238,19,FALSE)</f>
        <v>645.20651967148956</v>
      </c>
      <c r="O11" s="40">
        <f>VLOOKUP(D11,[1]apoio_Preços_MGS!$A$6:$AN$238,20,FALSE)</f>
        <v>0</v>
      </c>
      <c r="P11" s="40">
        <f>VLOOKUP(D11,[1]apoio_Preços_MGS!$A$6:$AN$238,21,FALSE)</f>
        <v>0</v>
      </c>
      <c r="Q11" s="40">
        <f>VLOOKUP(D11,[1]apoio_Preços_MGS!$A$6:$AN$238,22,FALSE)</f>
        <v>0</v>
      </c>
      <c r="R11" s="40">
        <f>VLOOKUP(D11,[1]apoio_Preços_MGS!$A$6:$AN$238,23,FALSE)</f>
        <v>0</v>
      </c>
      <c r="S11" s="40">
        <f>VLOOKUP(D11,[1]apoio_Preços_MGS!$A$6:$AN$238,24,FALSE)</f>
        <v>0</v>
      </c>
      <c r="T11" s="40">
        <f>VLOOKUP(D11,[1]apoio_Preços_MGS!$A$6:$AN$238,25,FALSE)</f>
        <v>0</v>
      </c>
      <c r="U11" s="40">
        <f t="shared" si="3"/>
        <v>2795.894918576455</v>
      </c>
      <c r="V11" s="41">
        <f>VLOOKUP(D11,[1]apoio_Preços_MGS!$A$6:$AN$238,27,FALSE)</f>
        <v>0.81799999999999995</v>
      </c>
      <c r="W11" s="40">
        <f t="shared" si="4"/>
        <v>2287.0420433955401</v>
      </c>
      <c r="X11" s="40">
        <f>VLOOKUP(D11,[1]apoio_Preços_MGS!$A$6:$AN$238,29,FALSE)</f>
        <v>30.014545454545452</v>
      </c>
      <c r="Y11" s="40">
        <f>VLOOKUP(D11,[1]apoio_Preços_MGS!$A$6:$AN$238,30,FALSE)</f>
        <v>282.32043012772351</v>
      </c>
      <c r="Z11" s="40">
        <f t="shared" si="5"/>
        <v>312.33497558226895</v>
      </c>
      <c r="AA11" s="40">
        <f>VLOOKUP(D11,[1]apoio_Preços_MGS!$A$6:$AN$238,32,FALSE)</f>
        <v>4.1293217258975332</v>
      </c>
      <c r="AB11" s="40">
        <f>VLOOKUP(D11,[1]apoio_Preços_MGS!$A$6:$AN$238,33,FALSE)</f>
        <v>281.74150413223134</v>
      </c>
      <c r="AC11" s="41">
        <f>VLOOKUP(D11,[1]apoio_Preços_MGS!$A$6:$AN$238,34,FALSE)</f>
        <v>0</v>
      </c>
      <c r="AD11" s="40">
        <f>(U11+W11+Z11+AB11+AA11+VLOOKUP(C11,[1]apoio_Prec_Folha!$A:$S,7,FALSE))*AC11</f>
        <v>0</v>
      </c>
      <c r="AE11" s="42">
        <f>VLOOKUP(D11,[1]apoio_Preços_MGS!$A$6:$AN$238,36,FALSE)</f>
        <v>7.0000000000000007E-2</v>
      </c>
      <c r="AF11" s="40">
        <f>(U11+W11+Z11+AB11+AD11+AA11+VLOOKUP(C11,[1]apoio_Prec_Folha!$A:$S,7,FALSE))*AE11</f>
        <v>436.13481162068575</v>
      </c>
      <c r="AG11" s="40">
        <f t="shared" si="6"/>
        <v>6117.27</v>
      </c>
      <c r="AH11" s="43">
        <f t="shared" si="7"/>
        <v>6971.24</v>
      </c>
      <c r="AI11" s="43">
        <f t="shared" si="8"/>
        <v>383418.2</v>
      </c>
      <c r="AJ11" s="43">
        <f t="shared" si="9"/>
        <v>23005092</v>
      </c>
      <c r="AK11" s="44">
        <f>VLOOKUP(D11,[1]apoio_Preços_MGS!$A$6:$AN$238,39,FALSE)</f>
        <v>200.00000000000003</v>
      </c>
      <c r="AL11" s="44">
        <f>IF(J11="demais municípios",VLOOKUP(D11,[1]apoio_Preços_MGS!$A$6:$AN$238,39,FALSE),0)</f>
        <v>200.00000000000003</v>
      </c>
      <c r="AM11" s="44">
        <v>0</v>
      </c>
      <c r="AN11" s="45">
        <f t="shared" si="16"/>
        <v>11000.000000000002</v>
      </c>
      <c r="AO11" s="44">
        <f>VLOOKUP(D11,[1]apoio_Preços_MGS!$A$6:$AN$238,40,FALSE)</f>
        <v>549.35</v>
      </c>
      <c r="AP11" s="44">
        <f>IF(J11="demais municípios",VLOOKUP(D11,[1]apoio_Preços_MGS!$A$6:$AN$238,40,FALSE),0)</f>
        <v>549.35</v>
      </c>
      <c r="AQ11" s="44">
        <v>0</v>
      </c>
      <c r="AR11" s="45">
        <f t="shared" si="17"/>
        <v>30214.25</v>
      </c>
      <c r="AS11" s="45">
        <f t="shared" si="10"/>
        <v>41214.25</v>
      </c>
      <c r="AT11" s="45">
        <f t="shared" si="13"/>
        <v>2472855</v>
      </c>
      <c r="AU11" s="62"/>
      <c r="AV11" s="46"/>
      <c r="AW11" s="47"/>
      <c r="AX11" s="48"/>
      <c r="AY11" s="49"/>
      <c r="BA11" s="48"/>
    </row>
    <row r="12" spans="1:53" ht="19.5" customHeight="1" x14ac:dyDescent="0.25">
      <c r="A12" s="33" t="str">
        <f t="shared" si="0"/>
        <v>95117440,035</v>
      </c>
      <c r="B12" s="33" t="str">
        <f t="shared" si="1"/>
        <v>3890,035</v>
      </c>
      <c r="C12" s="34" t="str">
        <f>VLOOKUP(D12,[1]apoio_Preços_MGS!$A$6:$B$238,2,FALSE)</f>
        <v>AGENTE DE SERVIÇO DE PARQUE HABILITADO</v>
      </c>
      <c r="D12" s="35">
        <v>389</v>
      </c>
      <c r="E12" s="33" t="str">
        <f>VLOOKUP(D12,[1]apoio_Preços_MGS!$A$6:$F$238,6,FALSE)</f>
        <v>AGENTE DE SERVIÇO DE PARQUE HABILITADO - (PERIC.) - DIARISTA DIURNO - 44H</v>
      </c>
      <c r="F12" s="36">
        <f>IFERROR(VLOOKUP(D12,'[1]apoio_cód catmas'!$B$2:$C$863,2,FALSE),0)</f>
        <v>95117</v>
      </c>
      <c r="G12" s="33" t="str">
        <f>IF(H12="N/A",VLOOKUP(F12&amp;40,'[1]apoio_cód catmas'!$A$1:$G$233,4,FALSE),VLOOKUP(F12&amp;H12,'[1]apoio_cód catmas'!$A$1:$G$233,4,FALSE))</f>
        <v>AGENTE DE SERVICO DE PARQUE HABILITADO - (PERICULOSIDADE) - 44H</v>
      </c>
      <c r="H12" s="36">
        <v>44</v>
      </c>
      <c r="I12" s="37">
        <v>3.5000000000000003E-2</v>
      </c>
      <c r="J12" s="38" t="s">
        <v>46</v>
      </c>
      <c r="K12" s="39">
        <v>5</v>
      </c>
      <c r="L12" s="39">
        <f t="shared" si="2"/>
        <v>300</v>
      </c>
      <c r="M12" s="40">
        <f>VLOOKUP(D12,[1]apoio_Preços_MGS!$A$6:$AN$238,18,FALSE)</f>
        <v>2150.6883989049652</v>
      </c>
      <c r="N12" s="40">
        <f>VLOOKUP(D12,[1]apoio_Preços_MGS!$A$6:$AN$238,19,FALSE)</f>
        <v>645.20651967148956</v>
      </c>
      <c r="O12" s="40">
        <f>VLOOKUP(D12,[1]apoio_Preços_MGS!$A$6:$AN$238,20,FALSE)</f>
        <v>0</v>
      </c>
      <c r="P12" s="40">
        <f>VLOOKUP(D12,[1]apoio_Preços_MGS!$A$6:$AN$238,21,FALSE)</f>
        <v>0</v>
      </c>
      <c r="Q12" s="40">
        <f>VLOOKUP(D12,[1]apoio_Preços_MGS!$A$6:$AN$238,22,FALSE)</f>
        <v>0</v>
      </c>
      <c r="R12" s="40">
        <f>VLOOKUP(D12,[1]apoio_Preços_MGS!$A$6:$AN$238,23,FALSE)</f>
        <v>0</v>
      </c>
      <c r="S12" s="40">
        <f>VLOOKUP(D12,[1]apoio_Preços_MGS!$A$6:$AN$238,24,FALSE)</f>
        <v>0</v>
      </c>
      <c r="T12" s="40">
        <f>VLOOKUP(D12,[1]apoio_Preços_MGS!$A$6:$AN$238,25,FALSE)</f>
        <v>0</v>
      </c>
      <c r="U12" s="40">
        <f t="shared" si="3"/>
        <v>2795.894918576455</v>
      </c>
      <c r="V12" s="41">
        <f>VLOOKUP(D12,[1]apoio_Preços_MGS!$A$6:$AN$238,27,FALSE)</f>
        <v>0.81799999999999995</v>
      </c>
      <c r="W12" s="40">
        <f t="shared" si="4"/>
        <v>2287.0420433955401</v>
      </c>
      <c r="X12" s="40">
        <f>VLOOKUP(D12,[1]apoio_Preços_MGS!$A$6:$AN$238,29,FALSE)</f>
        <v>30.014545454545452</v>
      </c>
      <c r="Y12" s="40">
        <f>VLOOKUP(D12,[1]apoio_Preços_MGS!$A$6:$AN$238,30,FALSE)</f>
        <v>282.32043012772351</v>
      </c>
      <c r="Z12" s="40">
        <f t="shared" si="5"/>
        <v>312.33497558226895</v>
      </c>
      <c r="AA12" s="40">
        <f>VLOOKUP(D12,[1]apoio_Preços_MGS!$A$6:$AN$238,32,FALSE)</f>
        <v>4.1293217258975332</v>
      </c>
      <c r="AB12" s="40">
        <f>VLOOKUP(D12,[1]apoio_Preços_MGS!$A$6:$AN$238,33,FALSE)</f>
        <v>281.74150413223134</v>
      </c>
      <c r="AC12" s="41">
        <f>VLOOKUP(D12,[1]apoio_Preços_MGS!$A$6:$AN$238,34,FALSE)</f>
        <v>0</v>
      </c>
      <c r="AD12" s="40">
        <f>(U12+W12+Z12+AB12+AA12+VLOOKUP(C12,[1]apoio_Prec_Folha!$A:$S,7,FALSE))*AC12</f>
        <v>0</v>
      </c>
      <c r="AE12" s="42">
        <f>VLOOKUP(D12,[1]apoio_Preços_MGS!$A$6:$AN$238,36,FALSE)</f>
        <v>7.0000000000000007E-2</v>
      </c>
      <c r="AF12" s="40">
        <f>(U12+W12+Z12+AB12+AD12+AA12+VLOOKUP(C12,[1]apoio_Prec_Folha!$A:$S,7,FALSE))*AE12</f>
        <v>436.13481162068575</v>
      </c>
      <c r="AG12" s="40">
        <f t="shared" si="6"/>
        <v>6117.27</v>
      </c>
      <c r="AH12" s="43">
        <f t="shared" si="7"/>
        <v>7011.18</v>
      </c>
      <c r="AI12" s="43">
        <f t="shared" si="8"/>
        <v>35055.9</v>
      </c>
      <c r="AJ12" s="43">
        <f t="shared" si="9"/>
        <v>2103354</v>
      </c>
      <c r="AK12" s="44">
        <f>VLOOKUP(D12,[1]apoio_Preços_MGS!$A$6:$AN$238,39,FALSE)</f>
        <v>200.00000000000003</v>
      </c>
      <c r="AL12" s="44">
        <f>IF(J12="demais municípios",VLOOKUP(D12,[1]apoio_Preços_MGS!$A$6:$AN$238,39,FALSE),0)</f>
        <v>200.00000000000003</v>
      </c>
      <c r="AM12" s="44">
        <v>0</v>
      </c>
      <c r="AN12" s="45">
        <f t="shared" si="16"/>
        <v>1000.0000000000001</v>
      </c>
      <c r="AO12" s="44">
        <f>VLOOKUP(D12,[1]apoio_Preços_MGS!$A$6:$AN$238,40,FALSE)</f>
        <v>549.35</v>
      </c>
      <c r="AP12" s="44">
        <f>IF(J12="demais municípios",VLOOKUP(D12,[1]apoio_Preços_MGS!$A$6:$AN$238,40,FALSE),0)</f>
        <v>549.35</v>
      </c>
      <c r="AQ12" s="44">
        <v>0</v>
      </c>
      <c r="AR12" s="45">
        <f t="shared" si="17"/>
        <v>2746.75</v>
      </c>
      <c r="AS12" s="45">
        <f t="shared" si="10"/>
        <v>3746.75</v>
      </c>
      <c r="AT12" s="45">
        <f t="shared" si="13"/>
        <v>224805</v>
      </c>
      <c r="AU12" s="62"/>
      <c r="AV12" s="46"/>
      <c r="AW12" s="47"/>
      <c r="AX12" s="48"/>
      <c r="AY12" s="49"/>
      <c r="BA12" s="48"/>
    </row>
    <row r="13" spans="1:53" ht="19.5" customHeight="1" x14ac:dyDescent="0.25">
      <c r="A13" s="33" t="str">
        <f t="shared" si="0"/>
        <v>95117440,04</v>
      </c>
      <c r="B13" s="33" t="str">
        <f t="shared" si="1"/>
        <v>3890,04</v>
      </c>
      <c r="C13" s="34" t="str">
        <f>VLOOKUP(D13,[1]apoio_Preços_MGS!$A$6:$B$238,2,FALSE)</f>
        <v>AGENTE DE SERVIÇO DE PARQUE HABILITADO</v>
      </c>
      <c r="D13" s="35">
        <v>389</v>
      </c>
      <c r="E13" s="33" t="str">
        <f>VLOOKUP(D13,[1]apoio_Preços_MGS!$A$6:$F$238,6,FALSE)</f>
        <v>AGENTE DE SERVIÇO DE PARQUE HABILITADO - (PERIC.) - DIARISTA DIURNO - 44H</v>
      </c>
      <c r="F13" s="36">
        <f>IFERROR(VLOOKUP(D13,'[1]apoio_cód catmas'!$B$2:$C$863,2,FALSE),0)</f>
        <v>95117</v>
      </c>
      <c r="G13" s="33" t="str">
        <f>IF(H13="N/A",VLOOKUP(F13&amp;40,'[1]apoio_cód catmas'!$A$1:$G$233,4,FALSE),VLOOKUP(F13&amp;H13,'[1]apoio_cód catmas'!$A$1:$G$233,4,FALSE))</f>
        <v>AGENTE DE SERVICO DE PARQUE HABILITADO - (PERICULOSIDADE) - 44H</v>
      </c>
      <c r="H13" s="36">
        <v>44</v>
      </c>
      <c r="I13" s="37">
        <v>0.04</v>
      </c>
      <c r="J13" s="38" t="s">
        <v>46</v>
      </c>
      <c r="K13" s="39">
        <v>16</v>
      </c>
      <c r="L13" s="39">
        <f t="shared" si="2"/>
        <v>960</v>
      </c>
      <c r="M13" s="40">
        <f>VLOOKUP(D13,[1]apoio_Preços_MGS!$A$6:$AN$238,18,FALSE)</f>
        <v>2150.6883989049652</v>
      </c>
      <c r="N13" s="40">
        <f>VLOOKUP(D13,[1]apoio_Preços_MGS!$A$6:$AN$238,19,FALSE)</f>
        <v>645.20651967148956</v>
      </c>
      <c r="O13" s="40">
        <f>VLOOKUP(D13,[1]apoio_Preços_MGS!$A$6:$AN$238,20,FALSE)</f>
        <v>0</v>
      </c>
      <c r="P13" s="40">
        <f>VLOOKUP(D13,[1]apoio_Preços_MGS!$A$6:$AN$238,21,FALSE)</f>
        <v>0</v>
      </c>
      <c r="Q13" s="40">
        <f>VLOOKUP(D13,[1]apoio_Preços_MGS!$A$6:$AN$238,22,FALSE)</f>
        <v>0</v>
      </c>
      <c r="R13" s="40">
        <f>VLOOKUP(D13,[1]apoio_Preços_MGS!$A$6:$AN$238,23,FALSE)</f>
        <v>0</v>
      </c>
      <c r="S13" s="40">
        <f>VLOOKUP(D13,[1]apoio_Preços_MGS!$A$6:$AN$238,24,FALSE)</f>
        <v>0</v>
      </c>
      <c r="T13" s="40">
        <f>VLOOKUP(D13,[1]apoio_Preços_MGS!$A$6:$AN$238,25,FALSE)</f>
        <v>0</v>
      </c>
      <c r="U13" s="40">
        <f t="shared" si="3"/>
        <v>2795.894918576455</v>
      </c>
      <c r="V13" s="41">
        <f>VLOOKUP(D13,[1]apoio_Preços_MGS!$A$6:$AN$238,27,FALSE)</f>
        <v>0.81799999999999995</v>
      </c>
      <c r="W13" s="40">
        <f t="shared" si="4"/>
        <v>2287.0420433955401</v>
      </c>
      <c r="X13" s="40">
        <f>VLOOKUP(D13,[1]apoio_Preços_MGS!$A$6:$AN$238,29,FALSE)</f>
        <v>30.014545454545452</v>
      </c>
      <c r="Y13" s="40">
        <f>VLOOKUP(D13,[1]apoio_Preços_MGS!$A$6:$AN$238,30,FALSE)</f>
        <v>282.32043012772351</v>
      </c>
      <c r="Z13" s="40">
        <f t="shared" si="5"/>
        <v>312.33497558226895</v>
      </c>
      <c r="AA13" s="40">
        <f>VLOOKUP(D13,[1]apoio_Preços_MGS!$A$6:$AN$238,32,FALSE)</f>
        <v>4.1293217258975332</v>
      </c>
      <c r="AB13" s="40">
        <f>VLOOKUP(D13,[1]apoio_Preços_MGS!$A$6:$AN$238,33,FALSE)</f>
        <v>281.74150413223134</v>
      </c>
      <c r="AC13" s="41">
        <f>VLOOKUP(D13,[1]apoio_Preços_MGS!$A$6:$AN$238,34,FALSE)</f>
        <v>0</v>
      </c>
      <c r="AD13" s="40">
        <f>(U13+W13+Z13+AB13+AA13+VLOOKUP(C13,[1]apoio_Prec_Folha!$A:$S,7,FALSE))*AC13</f>
        <v>0</v>
      </c>
      <c r="AE13" s="42">
        <f>VLOOKUP(D13,[1]apoio_Preços_MGS!$A$6:$AN$238,36,FALSE)</f>
        <v>7.0000000000000007E-2</v>
      </c>
      <c r="AF13" s="40">
        <f>(U13+W13+Z13+AB13+AD13+AA13+VLOOKUP(C13,[1]apoio_Prec_Folha!$A:$S,7,FALSE))*AE13</f>
        <v>436.13481162068575</v>
      </c>
      <c r="AG13" s="40">
        <f t="shared" si="6"/>
        <v>6117.27</v>
      </c>
      <c r="AH13" s="43">
        <f t="shared" si="7"/>
        <v>7051.62</v>
      </c>
      <c r="AI13" s="43">
        <f t="shared" si="8"/>
        <v>112825.92</v>
      </c>
      <c r="AJ13" s="43">
        <f t="shared" si="9"/>
        <v>6769555.2000000002</v>
      </c>
      <c r="AK13" s="44">
        <f>VLOOKUP(D13,[1]apoio_Preços_MGS!$A$6:$AN$238,39,FALSE)</f>
        <v>200.00000000000003</v>
      </c>
      <c r="AL13" s="44">
        <f>IF(J13="demais municípios",VLOOKUP(D13,[1]apoio_Preços_MGS!$A$6:$AN$238,39,FALSE),0)</f>
        <v>200.00000000000003</v>
      </c>
      <c r="AM13" s="44">
        <v>0</v>
      </c>
      <c r="AN13" s="45">
        <f t="shared" si="16"/>
        <v>3200.0000000000005</v>
      </c>
      <c r="AO13" s="44">
        <f>VLOOKUP(D13,[1]apoio_Preços_MGS!$A$6:$AN$238,40,FALSE)</f>
        <v>549.35</v>
      </c>
      <c r="AP13" s="44">
        <f>IF(J13="demais municípios",VLOOKUP(D13,[1]apoio_Preços_MGS!$A$6:$AN$238,40,FALSE),0)</f>
        <v>549.35</v>
      </c>
      <c r="AQ13" s="44">
        <v>0</v>
      </c>
      <c r="AR13" s="45">
        <f t="shared" si="17"/>
        <v>8789.6</v>
      </c>
      <c r="AS13" s="45">
        <f t="shared" si="10"/>
        <v>11989.6</v>
      </c>
      <c r="AT13" s="45">
        <f t="shared" si="13"/>
        <v>719376</v>
      </c>
      <c r="AU13" s="62"/>
      <c r="AV13" s="46"/>
      <c r="AW13" s="47"/>
      <c r="AX13" s="48"/>
      <c r="AY13" s="49"/>
      <c r="BA13" s="48"/>
    </row>
    <row r="14" spans="1:53" ht="19.5" customHeight="1" x14ac:dyDescent="0.25">
      <c r="A14" s="33" t="str">
        <f t="shared" si="0"/>
        <v>95117440,04</v>
      </c>
      <c r="B14" s="33" t="str">
        <f t="shared" si="1"/>
        <v>3890,04</v>
      </c>
      <c r="C14" s="34" t="str">
        <f>VLOOKUP(D14,[1]apoio_Preços_MGS!$A$6:$B$238,2,FALSE)</f>
        <v>AGENTE DE SERVIÇO DE PARQUE HABILITADO</v>
      </c>
      <c r="D14" s="35">
        <v>389</v>
      </c>
      <c r="E14" s="33" t="str">
        <f>VLOOKUP(D14,[1]apoio_Preços_MGS!$A$6:$F$238,6,FALSE)</f>
        <v>AGENTE DE SERVIÇO DE PARQUE HABILITADO - (PERIC.) - DIARISTA DIURNO - 44H</v>
      </c>
      <c r="F14" s="36">
        <f>IFERROR(VLOOKUP(D14,'[1]apoio_cód catmas'!$B$2:$C$863,2,FALSE),0)</f>
        <v>95117</v>
      </c>
      <c r="G14" s="33" t="str">
        <f>IF(H14="N/A",VLOOKUP(F14&amp;40,'[1]apoio_cód catmas'!$A$1:$G$233,4,FALSE),VLOOKUP(F14&amp;H14,'[1]apoio_cód catmas'!$A$1:$G$233,4,FALSE))</f>
        <v>AGENTE DE SERVICO DE PARQUE HABILITADO - (PERICULOSIDADE) - 44H</v>
      </c>
      <c r="H14" s="36">
        <v>44</v>
      </c>
      <c r="I14" s="37">
        <v>0.04</v>
      </c>
      <c r="J14" s="38" t="s">
        <v>46</v>
      </c>
      <c r="K14" s="39">
        <v>1</v>
      </c>
      <c r="L14" s="39">
        <f>K14*56</f>
        <v>56</v>
      </c>
      <c r="M14" s="40">
        <f>VLOOKUP(D14,[1]apoio_Preços_MGS!$A$6:$AN$238,18,FALSE)</f>
        <v>2150.6883989049652</v>
      </c>
      <c r="N14" s="40">
        <f>VLOOKUP(D14,[1]apoio_Preços_MGS!$A$6:$AN$238,19,FALSE)</f>
        <v>645.20651967148956</v>
      </c>
      <c r="O14" s="40">
        <f>VLOOKUP(D14,[1]apoio_Preços_MGS!$A$6:$AN$238,20,FALSE)</f>
        <v>0</v>
      </c>
      <c r="P14" s="40">
        <f>VLOOKUP(D14,[1]apoio_Preços_MGS!$A$6:$AN$238,21,FALSE)</f>
        <v>0</v>
      </c>
      <c r="Q14" s="40">
        <f>VLOOKUP(D14,[1]apoio_Preços_MGS!$A$6:$AN$238,22,FALSE)</f>
        <v>0</v>
      </c>
      <c r="R14" s="40">
        <f>VLOOKUP(D14,[1]apoio_Preços_MGS!$A$6:$AN$238,23,FALSE)</f>
        <v>0</v>
      </c>
      <c r="S14" s="40">
        <f>VLOOKUP(D14,[1]apoio_Preços_MGS!$A$6:$AN$238,24,FALSE)</f>
        <v>0</v>
      </c>
      <c r="T14" s="40">
        <f>VLOOKUP(D14,[1]apoio_Preços_MGS!$A$6:$AN$238,25,FALSE)</f>
        <v>0</v>
      </c>
      <c r="U14" s="40">
        <f t="shared" si="3"/>
        <v>2795.894918576455</v>
      </c>
      <c r="V14" s="41">
        <f>VLOOKUP(D14,[1]apoio_Preços_MGS!$A$6:$AN$238,27,FALSE)</f>
        <v>0.81799999999999995</v>
      </c>
      <c r="W14" s="40">
        <f t="shared" si="4"/>
        <v>2287.0420433955401</v>
      </c>
      <c r="X14" s="40">
        <f>VLOOKUP(D14,[1]apoio_Preços_MGS!$A$6:$AN$238,29,FALSE)</f>
        <v>30.014545454545452</v>
      </c>
      <c r="Y14" s="40">
        <f>VLOOKUP(D14,[1]apoio_Preços_MGS!$A$6:$AN$238,30,FALSE)</f>
        <v>282.32043012772351</v>
      </c>
      <c r="Z14" s="40">
        <f t="shared" si="5"/>
        <v>312.33497558226895</v>
      </c>
      <c r="AA14" s="40">
        <f>VLOOKUP(D14,[1]apoio_Preços_MGS!$A$6:$AN$238,32,FALSE)</f>
        <v>4.1293217258975332</v>
      </c>
      <c r="AB14" s="40">
        <f>VLOOKUP(D14,[1]apoio_Preços_MGS!$A$6:$AN$238,33,FALSE)</f>
        <v>281.74150413223134</v>
      </c>
      <c r="AC14" s="41">
        <f>VLOOKUP(D14,[1]apoio_Preços_MGS!$A$6:$AN$238,34,FALSE)</f>
        <v>0</v>
      </c>
      <c r="AD14" s="40">
        <f>(U14+W14+Z14+AB14+AA14+VLOOKUP(C14,[1]apoio_Prec_Folha!$A:$S,7,FALSE))*AC14</f>
        <v>0</v>
      </c>
      <c r="AE14" s="42">
        <f>VLOOKUP(D14,[1]apoio_Preços_MGS!$A$6:$AN$238,36,FALSE)</f>
        <v>7.0000000000000007E-2</v>
      </c>
      <c r="AF14" s="40">
        <f>(U14+W14+Z14+AB14+AD14+AA14+VLOOKUP(C14,[1]apoio_Prec_Folha!$A:$S,7,FALSE))*AE14</f>
        <v>436.13481162068575</v>
      </c>
      <c r="AG14" s="40">
        <f t="shared" si="6"/>
        <v>6117.27</v>
      </c>
      <c r="AH14" s="43">
        <f t="shared" si="7"/>
        <v>7051.62</v>
      </c>
      <c r="AI14" s="43">
        <f t="shared" si="8"/>
        <v>7051.62</v>
      </c>
      <c r="AJ14" s="43">
        <f t="shared" si="9"/>
        <v>394890.72</v>
      </c>
      <c r="AK14" s="44">
        <f>VLOOKUP(D14,[1]apoio_Preços_MGS!$A$6:$AN$238,39,FALSE)</f>
        <v>200.00000000000003</v>
      </c>
      <c r="AL14" s="44">
        <f>IF(J14="demais municípios",VLOOKUP(D14,[1]apoio_Preços_MGS!$A$6:$AN$238,39,FALSE),0)</f>
        <v>200.00000000000003</v>
      </c>
      <c r="AM14" s="44">
        <v>0</v>
      </c>
      <c r="AN14" s="45">
        <f t="shared" si="16"/>
        <v>200.00000000000003</v>
      </c>
      <c r="AO14" s="44">
        <f>VLOOKUP(D14,[1]apoio_Preços_MGS!$A$6:$AN$238,40,FALSE)</f>
        <v>549.35</v>
      </c>
      <c r="AP14" s="44">
        <f>IF(J14="demais municípios",VLOOKUP(D14,[1]apoio_Preços_MGS!$A$6:$AN$238,40,FALSE),0)</f>
        <v>549.35</v>
      </c>
      <c r="AQ14" s="44">
        <v>0</v>
      </c>
      <c r="AR14" s="45">
        <f t="shared" si="17"/>
        <v>549.35</v>
      </c>
      <c r="AS14" s="45">
        <f t="shared" si="10"/>
        <v>749.35</v>
      </c>
      <c r="AT14" s="45">
        <f t="shared" si="13"/>
        <v>44961</v>
      </c>
      <c r="AU14" s="62"/>
      <c r="AV14" s="46"/>
      <c r="AW14" s="47"/>
      <c r="AX14" s="48"/>
      <c r="AY14" s="49"/>
      <c r="BA14" s="48"/>
    </row>
    <row r="15" spans="1:53" ht="19.5" customHeight="1" x14ac:dyDescent="0.25">
      <c r="A15" s="33" t="str">
        <f t="shared" si="0"/>
        <v>95117440,05</v>
      </c>
      <c r="B15" s="33" t="str">
        <f t="shared" si="1"/>
        <v>3890,05</v>
      </c>
      <c r="C15" s="34" t="str">
        <f>VLOOKUP(D15,[1]apoio_Preços_MGS!$A$6:$B$238,2,FALSE)</f>
        <v>AGENTE DE SERVIÇO DE PARQUE HABILITADO</v>
      </c>
      <c r="D15" s="35">
        <v>389</v>
      </c>
      <c r="E15" s="33" t="str">
        <f>VLOOKUP(D15,[1]apoio_Preços_MGS!$A$6:$F$238,6,FALSE)</f>
        <v>AGENTE DE SERVIÇO DE PARQUE HABILITADO - (PERIC.) - DIARISTA DIURNO - 44H</v>
      </c>
      <c r="F15" s="36">
        <f>IFERROR(VLOOKUP(D15,'[1]apoio_cód catmas'!$B$2:$C$863,2,FALSE),0)</f>
        <v>95117</v>
      </c>
      <c r="G15" s="33" t="str">
        <f>IF(H15="N/A",VLOOKUP(F15&amp;40,'[1]apoio_cód catmas'!$A$1:$G$233,4,FALSE),VLOOKUP(F15&amp;H15,'[1]apoio_cód catmas'!$A$1:$G$233,4,FALSE))</f>
        <v>AGENTE DE SERVICO DE PARQUE HABILITADO - (PERICULOSIDADE) - 44H</v>
      </c>
      <c r="H15" s="36">
        <v>44</v>
      </c>
      <c r="I15" s="37">
        <v>0.05</v>
      </c>
      <c r="J15" s="38" t="s">
        <v>46</v>
      </c>
      <c r="K15" s="39">
        <v>2</v>
      </c>
      <c r="L15" s="39">
        <f>K15*56</f>
        <v>112</v>
      </c>
      <c r="M15" s="40">
        <f>VLOOKUP(D15,[1]apoio_Preços_MGS!$A$6:$AN$238,18,FALSE)</f>
        <v>2150.6883989049652</v>
      </c>
      <c r="N15" s="40">
        <f>VLOOKUP(D15,[1]apoio_Preços_MGS!$A$6:$AN$238,19,FALSE)</f>
        <v>645.20651967148956</v>
      </c>
      <c r="O15" s="40">
        <f>VLOOKUP(D15,[1]apoio_Preços_MGS!$A$6:$AN$238,20,FALSE)</f>
        <v>0</v>
      </c>
      <c r="P15" s="40">
        <f>VLOOKUP(D15,[1]apoio_Preços_MGS!$A$6:$AN$238,21,FALSE)</f>
        <v>0</v>
      </c>
      <c r="Q15" s="40">
        <f>VLOOKUP(D15,[1]apoio_Preços_MGS!$A$6:$AN$238,22,FALSE)</f>
        <v>0</v>
      </c>
      <c r="R15" s="40">
        <f>VLOOKUP(D15,[1]apoio_Preços_MGS!$A$6:$AN$238,23,FALSE)</f>
        <v>0</v>
      </c>
      <c r="S15" s="40">
        <f>VLOOKUP(D15,[1]apoio_Preços_MGS!$A$6:$AN$238,24,FALSE)</f>
        <v>0</v>
      </c>
      <c r="T15" s="40">
        <f>VLOOKUP(D15,[1]apoio_Preços_MGS!$A$6:$AN$238,25,FALSE)</f>
        <v>0</v>
      </c>
      <c r="U15" s="40">
        <f t="shared" si="3"/>
        <v>2795.894918576455</v>
      </c>
      <c r="V15" s="41">
        <f>VLOOKUP(D15,[1]apoio_Preços_MGS!$A$6:$AN$238,27,FALSE)</f>
        <v>0.81799999999999995</v>
      </c>
      <c r="W15" s="40">
        <f t="shared" si="4"/>
        <v>2287.0420433955401</v>
      </c>
      <c r="X15" s="40">
        <f>VLOOKUP(D15,[1]apoio_Preços_MGS!$A$6:$AN$238,29,FALSE)</f>
        <v>30.014545454545452</v>
      </c>
      <c r="Y15" s="40">
        <f>VLOOKUP(D15,[1]apoio_Preços_MGS!$A$6:$AN$238,30,FALSE)</f>
        <v>282.32043012772351</v>
      </c>
      <c r="Z15" s="40">
        <f t="shared" si="5"/>
        <v>312.33497558226895</v>
      </c>
      <c r="AA15" s="40">
        <f>VLOOKUP(D15,[1]apoio_Preços_MGS!$A$6:$AN$238,32,FALSE)</f>
        <v>4.1293217258975332</v>
      </c>
      <c r="AB15" s="40">
        <f>VLOOKUP(D15,[1]apoio_Preços_MGS!$A$6:$AN$238,33,FALSE)</f>
        <v>281.74150413223134</v>
      </c>
      <c r="AC15" s="41">
        <f>VLOOKUP(D15,[1]apoio_Preços_MGS!$A$6:$AN$238,34,FALSE)</f>
        <v>0</v>
      </c>
      <c r="AD15" s="40">
        <f>(U15+W15+Z15+AB15+AA15+VLOOKUP(C15,[1]apoio_Prec_Folha!$A:$S,7,FALSE))*AC15</f>
        <v>0</v>
      </c>
      <c r="AE15" s="42">
        <f>VLOOKUP(D15,[1]apoio_Preços_MGS!$A$6:$AN$238,36,FALSE)</f>
        <v>7.0000000000000007E-2</v>
      </c>
      <c r="AF15" s="40">
        <f>(U15+W15+Z15+AB15+AD15+AA15+VLOOKUP(C15,[1]apoio_Prec_Folha!$A:$S,7,FALSE))*AE15</f>
        <v>436.13481162068575</v>
      </c>
      <c r="AG15" s="40">
        <f t="shared" si="6"/>
        <v>6117.27</v>
      </c>
      <c r="AH15" s="43">
        <f t="shared" si="7"/>
        <v>7133.83</v>
      </c>
      <c r="AI15" s="43">
        <f t="shared" si="8"/>
        <v>14267.66</v>
      </c>
      <c r="AJ15" s="43">
        <f t="shared" si="9"/>
        <v>798988.96</v>
      </c>
      <c r="AK15" s="44">
        <f>VLOOKUP(D15,[1]apoio_Preços_MGS!$A$6:$AN$238,39,FALSE)</f>
        <v>200.00000000000003</v>
      </c>
      <c r="AL15" s="44">
        <f>IF(J15="demais municípios",VLOOKUP(D15,[1]apoio_Preços_MGS!$A$6:$AN$238,39,FALSE),0)</f>
        <v>200.00000000000003</v>
      </c>
      <c r="AM15" s="44">
        <v>0</v>
      </c>
      <c r="AN15" s="45">
        <f t="shared" si="16"/>
        <v>400.00000000000006</v>
      </c>
      <c r="AO15" s="44">
        <f>VLOOKUP(D15,[1]apoio_Preços_MGS!$A$6:$AN$238,40,FALSE)</f>
        <v>549.35</v>
      </c>
      <c r="AP15" s="44">
        <f>IF(J15="demais municípios",VLOOKUP(D15,[1]apoio_Preços_MGS!$A$6:$AN$238,40,FALSE),0)</f>
        <v>549.35</v>
      </c>
      <c r="AQ15" s="44">
        <v>0</v>
      </c>
      <c r="AR15" s="45">
        <f t="shared" si="17"/>
        <v>1098.7</v>
      </c>
      <c r="AS15" s="45">
        <f t="shared" si="10"/>
        <v>1498.7</v>
      </c>
      <c r="AT15" s="45">
        <f t="shared" si="13"/>
        <v>89922</v>
      </c>
      <c r="AU15" s="62"/>
      <c r="AV15" s="46"/>
      <c r="AW15" s="47"/>
      <c r="AX15" s="48"/>
      <c r="AY15" s="49"/>
      <c r="BA15" s="48"/>
    </row>
    <row r="16" spans="1:53" ht="19.5" customHeight="1" x14ac:dyDescent="0.25">
      <c r="A16" s="33" t="str">
        <f t="shared" si="0"/>
        <v>95117440,05</v>
      </c>
      <c r="B16" s="33" t="str">
        <f t="shared" si="1"/>
        <v>3890,05</v>
      </c>
      <c r="C16" s="34" t="str">
        <f>VLOOKUP(D16,[1]apoio_Preços_MGS!$A$6:$B$238,2,FALSE)</f>
        <v>AGENTE DE SERVIÇO DE PARQUE HABILITADO</v>
      </c>
      <c r="D16" s="35">
        <v>389</v>
      </c>
      <c r="E16" s="33" t="str">
        <f>VLOOKUP(D16,[1]apoio_Preços_MGS!$A$6:$F$238,6,FALSE)</f>
        <v>AGENTE DE SERVIÇO DE PARQUE HABILITADO - (PERIC.) - DIARISTA DIURNO - 44H</v>
      </c>
      <c r="F16" s="36">
        <f>IFERROR(VLOOKUP(D16,'[1]apoio_cód catmas'!$B$2:$C$863,2,FALSE),0)</f>
        <v>95117</v>
      </c>
      <c r="G16" s="33" t="str">
        <f>IF(H16="N/A",VLOOKUP(F16&amp;40,'[1]apoio_cód catmas'!$A$1:$G$233,4,FALSE),VLOOKUP(F16&amp;H16,'[1]apoio_cód catmas'!$A$1:$G$233,4,FALSE))</f>
        <v>AGENTE DE SERVICO DE PARQUE HABILITADO - (PERICULOSIDADE) - 44H</v>
      </c>
      <c r="H16" s="36">
        <v>44</v>
      </c>
      <c r="I16" s="37">
        <v>0.05</v>
      </c>
      <c r="J16" s="38" t="s">
        <v>46</v>
      </c>
      <c r="K16" s="39">
        <f>28-1-3</f>
        <v>24</v>
      </c>
      <c r="L16" s="39">
        <f t="shared" si="2"/>
        <v>1440</v>
      </c>
      <c r="M16" s="40">
        <f>VLOOKUP(D16,[1]apoio_Preços_MGS!$A$6:$AN$238,18,FALSE)</f>
        <v>2150.6883989049652</v>
      </c>
      <c r="N16" s="40">
        <f>VLOOKUP(D16,[1]apoio_Preços_MGS!$A$6:$AN$238,19,FALSE)</f>
        <v>645.20651967148956</v>
      </c>
      <c r="O16" s="40">
        <f>VLOOKUP(D16,[1]apoio_Preços_MGS!$A$6:$AN$238,20,FALSE)</f>
        <v>0</v>
      </c>
      <c r="P16" s="40">
        <f>VLOOKUP(D16,[1]apoio_Preços_MGS!$A$6:$AN$238,21,FALSE)</f>
        <v>0</v>
      </c>
      <c r="Q16" s="40">
        <f>VLOOKUP(D16,[1]apoio_Preços_MGS!$A$6:$AN$238,22,FALSE)</f>
        <v>0</v>
      </c>
      <c r="R16" s="40">
        <f>VLOOKUP(D16,[1]apoio_Preços_MGS!$A$6:$AN$238,23,FALSE)</f>
        <v>0</v>
      </c>
      <c r="S16" s="40">
        <f>VLOOKUP(D16,[1]apoio_Preços_MGS!$A$6:$AN$238,24,FALSE)</f>
        <v>0</v>
      </c>
      <c r="T16" s="40">
        <f>VLOOKUP(D16,[1]apoio_Preços_MGS!$A$6:$AN$238,25,FALSE)</f>
        <v>0</v>
      </c>
      <c r="U16" s="40">
        <f t="shared" si="3"/>
        <v>2795.894918576455</v>
      </c>
      <c r="V16" s="41">
        <f>VLOOKUP(D16,[1]apoio_Preços_MGS!$A$6:$AN$238,27,FALSE)</f>
        <v>0.81799999999999995</v>
      </c>
      <c r="W16" s="40">
        <f t="shared" si="4"/>
        <v>2287.0420433955401</v>
      </c>
      <c r="X16" s="40">
        <f>VLOOKUP(D16,[1]apoio_Preços_MGS!$A$6:$AN$238,29,FALSE)</f>
        <v>30.014545454545452</v>
      </c>
      <c r="Y16" s="40">
        <f>VLOOKUP(D16,[1]apoio_Preços_MGS!$A$6:$AN$238,30,FALSE)</f>
        <v>282.32043012772351</v>
      </c>
      <c r="Z16" s="40">
        <f t="shared" si="5"/>
        <v>312.33497558226895</v>
      </c>
      <c r="AA16" s="40">
        <f>VLOOKUP(D16,[1]apoio_Preços_MGS!$A$6:$AN$238,32,FALSE)</f>
        <v>4.1293217258975332</v>
      </c>
      <c r="AB16" s="40">
        <f>VLOOKUP(D16,[1]apoio_Preços_MGS!$A$6:$AN$238,33,FALSE)</f>
        <v>281.74150413223134</v>
      </c>
      <c r="AC16" s="41">
        <f>VLOOKUP(D16,[1]apoio_Preços_MGS!$A$6:$AN$238,34,FALSE)</f>
        <v>0</v>
      </c>
      <c r="AD16" s="40">
        <f>(U16+W16+Z16+AB16+AA16+VLOOKUP(C16,[1]apoio_Prec_Folha!$A:$S,7,FALSE))*AC16</f>
        <v>0</v>
      </c>
      <c r="AE16" s="42">
        <f>VLOOKUP(D16,[1]apoio_Preços_MGS!$A$6:$AN$238,36,FALSE)</f>
        <v>7.0000000000000007E-2</v>
      </c>
      <c r="AF16" s="40">
        <f>(U16+W16+Z16+AB16+AD16+AA16+VLOOKUP(C16,[1]apoio_Prec_Folha!$A:$S,7,FALSE))*AE16</f>
        <v>436.13481162068575</v>
      </c>
      <c r="AG16" s="40">
        <f t="shared" si="6"/>
        <v>6117.27</v>
      </c>
      <c r="AH16" s="43">
        <f t="shared" si="7"/>
        <v>7133.83</v>
      </c>
      <c r="AI16" s="43">
        <f t="shared" si="8"/>
        <v>171211.91999999998</v>
      </c>
      <c r="AJ16" s="43">
        <f t="shared" si="9"/>
        <v>10272715.199999999</v>
      </c>
      <c r="AK16" s="44">
        <f>VLOOKUP(D16,[1]apoio_Preços_MGS!$A$6:$AN$238,39,FALSE)</f>
        <v>200.00000000000003</v>
      </c>
      <c r="AL16" s="44">
        <f>IF(J16="demais municípios",VLOOKUP(D16,[1]apoio_Preços_MGS!$A$6:$AN$238,39,FALSE),0)</f>
        <v>200.00000000000003</v>
      </c>
      <c r="AM16" s="44">
        <v>0</v>
      </c>
      <c r="AN16" s="45">
        <f t="shared" si="16"/>
        <v>4800.0000000000009</v>
      </c>
      <c r="AO16" s="44">
        <f>VLOOKUP(D16,[1]apoio_Preços_MGS!$A$6:$AN$238,40,FALSE)</f>
        <v>549.35</v>
      </c>
      <c r="AP16" s="44">
        <f>IF(J16="demais municípios",VLOOKUP(D16,[1]apoio_Preços_MGS!$A$6:$AN$238,40,FALSE),0)</f>
        <v>549.35</v>
      </c>
      <c r="AQ16" s="44">
        <v>0</v>
      </c>
      <c r="AR16" s="45">
        <f t="shared" si="17"/>
        <v>13184.400000000001</v>
      </c>
      <c r="AS16" s="45">
        <f t="shared" si="10"/>
        <v>17984.400000000001</v>
      </c>
      <c r="AT16" s="45">
        <f t="shared" si="13"/>
        <v>1079064</v>
      </c>
      <c r="AU16" s="62"/>
      <c r="AV16" s="46"/>
      <c r="AW16" s="47"/>
      <c r="AX16" s="48"/>
      <c r="AY16" s="49"/>
      <c r="BA16" s="48"/>
    </row>
    <row r="17" spans="1:53" ht="19.5" customHeight="1" x14ac:dyDescent="0.25">
      <c r="A17" s="33" t="str">
        <f t="shared" si="0"/>
        <v>95117440,05</v>
      </c>
      <c r="B17" s="33" t="str">
        <f t="shared" si="1"/>
        <v>3890,05</v>
      </c>
      <c r="C17" s="34" t="str">
        <f>VLOOKUP(D17,[1]apoio_Preços_MGS!$A$6:$B$238,2,FALSE)</f>
        <v>AGENTE DE SERVIÇO DE PARQUE HABILITADO</v>
      </c>
      <c r="D17" s="35">
        <v>389</v>
      </c>
      <c r="E17" s="33" t="str">
        <f>VLOOKUP(D17,[1]apoio_Preços_MGS!$A$6:$F$238,6,FALSE)</f>
        <v>AGENTE DE SERVIÇO DE PARQUE HABILITADO - (PERIC.) - DIARISTA DIURNO - 44H</v>
      </c>
      <c r="F17" s="36">
        <f>IFERROR(VLOOKUP(D17,'[1]apoio_cód catmas'!$B$2:$C$863,2,FALSE),0)</f>
        <v>95117</v>
      </c>
      <c r="G17" s="33" t="str">
        <f>IF(H17="N/A",VLOOKUP(F17&amp;40,'[1]apoio_cód catmas'!$A$1:$G$233,4,FALSE),VLOOKUP(F17&amp;H17,'[1]apoio_cód catmas'!$A$1:$G$233,4,FALSE))</f>
        <v>AGENTE DE SERVICO DE PARQUE HABILITADO - (PERICULOSIDADE) - 44H</v>
      </c>
      <c r="H17" s="36">
        <v>44</v>
      </c>
      <c r="I17" s="37">
        <v>0.05</v>
      </c>
      <c r="J17" s="38" t="s">
        <v>47</v>
      </c>
      <c r="K17" s="39">
        <v>22</v>
      </c>
      <c r="L17" s="39">
        <f t="shared" si="2"/>
        <v>1320</v>
      </c>
      <c r="M17" s="40">
        <f>VLOOKUP(D17,[1]apoio_Preços_MGS!$A$6:$AN$238,18,FALSE)</f>
        <v>2150.6883989049652</v>
      </c>
      <c r="N17" s="40">
        <f>VLOOKUP(D17,[1]apoio_Preços_MGS!$A$6:$AN$238,19,FALSE)</f>
        <v>645.20651967148956</v>
      </c>
      <c r="O17" s="40">
        <f>VLOOKUP(D17,[1]apoio_Preços_MGS!$A$6:$AN$238,20,FALSE)</f>
        <v>0</v>
      </c>
      <c r="P17" s="40">
        <f>VLOOKUP(D17,[1]apoio_Preços_MGS!$A$6:$AN$238,21,FALSE)</f>
        <v>0</v>
      </c>
      <c r="Q17" s="40">
        <f>VLOOKUP(D17,[1]apoio_Preços_MGS!$A$6:$AN$238,22,FALSE)</f>
        <v>0</v>
      </c>
      <c r="R17" s="40">
        <f>VLOOKUP(D17,[1]apoio_Preços_MGS!$A$6:$AN$238,23,FALSE)</f>
        <v>0</v>
      </c>
      <c r="S17" s="40">
        <f>VLOOKUP(D17,[1]apoio_Preços_MGS!$A$6:$AN$238,24,FALSE)</f>
        <v>0</v>
      </c>
      <c r="T17" s="40">
        <f>VLOOKUP(D17,[1]apoio_Preços_MGS!$A$6:$AN$238,25,FALSE)</f>
        <v>0</v>
      </c>
      <c r="U17" s="40">
        <f t="shared" si="3"/>
        <v>2795.894918576455</v>
      </c>
      <c r="V17" s="41">
        <f>VLOOKUP(D17,[1]apoio_Preços_MGS!$A$6:$AN$238,27,FALSE)</f>
        <v>0.81799999999999995</v>
      </c>
      <c r="W17" s="40">
        <f t="shared" si="4"/>
        <v>2287.0420433955401</v>
      </c>
      <c r="X17" s="40">
        <f>VLOOKUP(D17,[1]apoio_Preços_MGS!$A$6:$AN$238,29,FALSE)</f>
        <v>30.014545454545452</v>
      </c>
      <c r="Y17" s="40">
        <f>VLOOKUP(D17,[1]apoio_Preços_MGS!$A$6:$AN$238,30,FALSE)</f>
        <v>282.32043012772351</v>
      </c>
      <c r="Z17" s="40">
        <f t="shared" si="5"/>
        <v>312.33497558226895</v>
      </c>
      <c r="AA17" s="40">
        <f>VLOOKUP(D17,[1]apoio_Preços_MGS!$A$6:$AN$238,32,FALSE)</f>
        <v>4.1293217258975332</v>
      </c>
      <c r="AB17" s="40">
        <f>VLOOKUP(D17,[1]apoio_Preços_MGS!$A$6:$AN$238,33,FALSE)</f>
        <v>281.74150413223134</v>
      </c>
      <c r="AC17" s="41">
        <f>VLOOKUP(D17,[1]apoio_Preços_MGS!$A$6:$AN$238,34,FALSE)</f>
        <v>0</v>
      </c>
      <c r="AD17" s="40">
        <f>(U17+W17+Z17+AB17+AA17+VLOOKUP(C17,[1]apoio_Prec_Folha!$A:$S,7,FALSE))*AC17</f>
        <v>0</v>
      </c>
      <c r="AE17" s="42">
        <f>VLOOKUP(D17,[1]apoio_Preços_MGS!$A$6:$AN$238,36,FALSE)</f>
        <v>7.0000000000000007E-2</v>
      </c>
      <c r="AF17" s="40">
        <f>(U17+W17+Z17+AB17+AD17+AA17+VLOOKUP(C17,[1]apoio_Prec_Folha!$A:$S,7,FALSE))*AE17</f>
        <v>436.13481162068575</v>
      </c>
      <c r="AG17" s="40">
        <f t="shared" si="6"/>
        <v>6117.27</v>
      </c>
      <c r="AH17" s="43">
        <f t="shared" si="7"/>
        <v>7133.83</v>
      </c>
      <c r="AI17" s="43">
        <f t="shared" si="8"/>
        <v>156944.26</v>
      </c>
      <c r="AJ17" s="43">
        <f t="shared" si="9"/>
        <v>9416655.5999999996</v>
      </c>
      <c r="AK17" s="44">
        <f>VLOOKUP(D17,[1]apoio_Preços_MGS!$A$6:$AN$238,39,FALSE)</f>
        <v>200.00000000000003</v>
      </c>
      <c r="AL17" s="44">
        <f>IF(J17="demais municípios",VLOOKUP(D17,[1]apoio_Preços_MGS!$A$6:$AN$238,39,FALSE),0)</f>
        <v>0</v>
      </c>
      <c r="AM17" s="44">
        <f>TRUNC(ROUND(($I17)/(1-($I17)),5)*VLOOKUP(D17,[1]apoio_Preços_MGS!$A$6:$AN$238,39,FALSE)+VLOOKUP(D17,[1]apoio_Preços_MGS!$A$6:$AN$238,39,FALSE),2)</f>
        <v>210.52</v>
      </c>
      <c r="AN17" s="45">
        <f t="shared" si="14"/>
        <v>4631.4400000000005</v>
      </c>
      <c r="AO17" s="44">
        <f>VLOOKUP(D17,[1]apoio_Preços_MGS!$A$6:$AN$238,40,FALSE)</f>
        <v>549.35</v>
      </c>
      <c r="AP17" s="44">
        <f>IF(J17="demais municípios",VLOOKUP(D17,[1]apoio_Preços_MGS!$A$6:$AN$238,40,FALSE),0)</f>
        <v>0</v>
      </c>
      <c r="AQ17" s="44">
        <f>TRUNC(ROUND(($I17)/(1-($I17)),5)*VLOOKUP(D17,[1]apoio_Preços_MGS!$A$6:$AN$238,40,FALSE)+VLOOKUP(D17,[1]apoio_Preços_MGS!$A$6:$AN$238,40,FALSE),2)</f>
        <v>578.26</v>
      </c>
      <c r="AR17" s="45">
        <f t="shared" si="15"/>
        <v>12721.72</v>
      </c>
      <c r="AS17" s="45">
        <f t="shared" si="10"/>
        <v>17353.16</v>
      </c>
      <c r="AT17" s="45">
        <f t="shared" si="13"/>
        <v>1041189.6</v>
      </c>
      <c r="AU17" s="62"/>
      <c r="AV17" s="46"/>
      <c r="AW17" s="47"/>
      <c r="AX17" s="48"/>
      <c r="AY17" s="49"/>
      <c r="BA17" s="48"/>
    </row>
    <row r="18" spans="1:53" ht="19.5" customHeight="1" x14ac:dyDescent="0.25">
      <c r="A18" s="33" t="str">
        <f t="shared" si="0"/>
        <v>95125440,02</v>
      </c>
      <c r="B18" s="33" t="str">
        <f t="shared" si="1"/>
        <v>3900,02</v>
      </c>
      <c r="C18" s="34" t="str">
        <f>VLOOKUP(D18,[1]apoio_Preços_MGS!$A$6:$B$238,2,FALSE)</f>
        <v>AGENTE DE SERVIÇO DE PARQUE HABILITADO</v>
      </c>
      <c r="D18" s="35">
        <v>390</v>
      </c>
      <c r="E18" s="33" t="str">
        <f>VLOOKUP(D18,[1]apoio_Preços_MGS!$A$6:$F$238,6,FALSE)</f>
        <v>AGENTE DE SERVIÇO DE PARQUE HABILITADO - 12x36 DIURNO - 44H</v>
      </c>
      <c r="F18" s="36">
        <f>IFERROR(VLOOKUP(D18,'[1]apoio_cód catmas'!$B$2:$C$863,2,FALSE),0)</f>
        <v>95125</v>
      </c>
      <c r="G18" s="33" t="str">
        <f>IF(H18="N/A",VLOOKUP(F18&amp;40,'[1]apoio_cód catmas'!$A$1:$G$233,4,FALSE),VLOOKUP(F18&amp;H18,'[1]apoio_cód catmas'!$A$1:$G$233,4,FALSE))</f>
        <v>AGENTE DE SERVICO DE PARQUE HABILITADO - 12X36 DIURNO - 44H</v>
      </c>
      <c r="H18" s="36">
        <v>44</v>
      </c>
      <c r="I18" s="37">
        <v>0.02</v>
      </c>
      <c r="J18" s="38" t="s">
        <v>46</v>
      </c>
      <c r="K18" s="39">
        <v>6</v>
      </c>
      <c r="L18" s="39">
        <f t="shared" si="2"/>
        <v>360</v>
      </c>
      <c r="M18" s="40">
        <f>VLOOKUP(D18,[1]apoio_Preços_MGS!$A$6:$AN$238,18,FALSE)</f>
        <v>2150.6883989049652</v>
      </c>
      <c r="N18" s="40">
        <f>VLOOKUP(D18,[1]apoio_Preços_MGS!$A$6:$AN$238,19,FALSE)</f>
        <v>0</v>
      </c>
      <c r="O18" s="40">
        <f>VLOOKUP(D18,[1]apoio_Preços_MGS!$A$6:$AN$238,20,FALSE)</f>
        <v>0</v>
      </c>
      <c r="P18" s="40">
        <f>VLOOKUP(D18,[1]apoio_Preços_MGS!$A$6:$AN$238,21,FALSE)</f>
        <v>0</v>
      </c>
      <c r="Q18" s="40">
        <f>VLOOKUP(D18,[1]apoio_Preços_MGS!$A$6:$AN$238,22,FALSE)</f>
        <v>0</v>
      </c>
      <c r="R18" s="40">
        <f>VLOOKUP(D18,[1]apoio_Preços_MGS!$A$6:$AN$238,23,FALSE)</f>
        <v>0</v>
      </c>
      <c r="S18" s="40">
        <f>VLOOKUP(D18,[1]apoio_Preços_MGS!$A$6:$AN$238,24,FALSE)</f>
        <v>0</v>
      </c>
      <c r="T18" s="40">
        <f>VLOOKUP(D18,[1]apoio_Preços_MGS!$A$6:$AN$238,25,FALSE)</f>
        <v>2.9870672207013409</v>
      </c>
      <c r="U18" s="40">
        <f t="shared" si="3"/>
        <v>2153.6754661256664</v>
      </c>
      <c r="V18" s="41">
        <f>VLOOKUP(D18,[1]apoio_Preços_MGS!$A$6:$AN$238,27,FALSE)</f>
        <v>0.81799999999999995</v>
      </c>
      <c r="W18" s="40">
        <f t="shared" si="4"/>
        <v>1761.7065312907951</v>
      </c>
      <c r="X18" s="40">
        <f>VLOOKUP(D18,[1]apoio_Preços_MGS!$A$6:$AN$238,29,FALSE)</f>
        <v>30.014545454545452</v>
      </c>
      <c r="Y18" s="40">
        <f>VLOOKUP(D18,[1]apoio_Preços_MGS!$A$6:$AN$238,30,FALSE)</f>
        <v>282.32043012772351</v>
      </c>
      <c r="Z18" s="40">
        <f t="shared" si="5"/>
        <v>312.33497558226895</v>
      </c>
      <c r="AA18" s="40">
        <f>VLOOKUP(D18,[1]apoio_Preços_MGS!$A$6:$AN$238,32,FALSE)</f>
        <v>4.1293217258975332</v>
      </c>
      <c r="AB18" s="40">
        <f>VLOOKUP(D18,[1]apoio_Preços_MGS!$A$6:$AN$238,33,FALSE)</f>
        <v>281.74150413223134</v>
      </c>
      <c r="AC18" s="41">
        <f>VLOOKUP(D18,[1]apoio_Preços_MGS!$A$6:$AN$238,34,FALSE)</f>
        <v>0</v>
      </c>
      <c r="AD18" s="40">
        <f>(U18+W18+Z18+AB18+AA18+VLOOKUP(C18,[1]apoio_Prec_Folha!$A:$S,7,FALSE))*AC18</f>
        <v>0</v>
      </c>
      <c r="AE18" s="42">
        <f>VLOOKUP(D18,[1]apoio_Preços_MGS!$A$6:$AN$238,36,FALSE)</f>
        <v>7.0000000000000007E-2</v>
      </c>
      <c r="AF18" s="40">
        <f>(U18+W18+Z18+AB18+AD18+AA18+VLOOKUP(C18,[1]apoio_Prec_Folha!$A:$S,7,FALSE))*AE18</f>
        <v>354.40596410179842</v>
      </c>
      <c r="AG18" s="40">
        <f t="shared" si="6"/>
        <v>4867.99</v>
      </c>
      <c r="AH18" s="43">
        <f t="shared" si="7"/>
        <v>5485.05</v>
      </c>
      <c r="AI18" s="43">
        <f t="shared" si="8"/>
        <v>32910.300000000003</v>
      </c>
      <c r="AJ18" s="43">
        <f t="shared" si="9"/>
        <v>1974618</v>
      </c>
      <c r="AK18" s="44">
        <f>VLOOKUP(D18,[1]apoio_Preços_MGS!$A$6:$AN$238,39,FALSE)</f>
        <v>200.00000000000003</v>
      </c>
      <c r="AL18" s="44">
        <f>IF(J18="demais municípios",VLOOKUP(D18,[1]apoio_Preços_MGS!$A$6:$AN$238,39,FALSE),0)</f>
        <v>200.00000000000003</v>
      </c>
      <c r="AM18" s="44">
        <v>0</v>
      </c>
      <c r="AN18" s="45">
        <f t="shared" ref="AN18:AN25" si="18">AK18*K18</f>
        <v>1200.0000000000002</v>
      </c>
      <c r="AO18" s="44">
        <f>VLOOKUP(D18,[1]apoio_Preços_MGS!$A$6:$AN$238,40,FALSE)</f>
        <v>549.35</v>
      </c>
      <c r="AP18" s="44">
        <f>IF(J18="demais municípios",VLOOKUP(D18,[1]apoio_Preços_MGS!$A$6:$AN$238,40,FALSE),0)</f>
        <v>549.35</v>
      </c>
      <c r="AQ18" s="44">
        <v>0</v>
      </c>
      <c r="AR18" s="45">
        <f t="shared" ref="AR18:AR25" si="19">AO18*K18</f>
        <v>3296.1000000000004</v>
      </c>
      <c r="AS18" s="45">
        <f t="shared" si="10"/>
        <v>4496.1000000000004</v>
      </c>
      <c r="AT18" s="45">
        <f t="shared" si="13"/>
        <v>269766</v>
      </c>
      <c r="AU18" s="62"/>
      <c r="AV18" s="46"/>
      <c r="AW18" s="47"/>
      <c r="AX18" s="48"/>
      <c r="AY18" s="49"/>
      <c r="BA18" s="48"/>
    </row>
    <row r="19" spans="1:53" ht="19.5" customHeight="1" x14ac:dyDescent="0.25">
      <c r="A19" s="33" t="str">
        <f t="shared" si="0"/>
        <v>95125440,027</v>
      </c>
      <c r="B19" s="33" t="str">
        <f t="shared" si="1"/>
        <v>3900,027</v>
      </c>
      <c r="C19" s="34" t="str">
        <f>VLOOKUP(D19,[1]apoio_Preços_MGS!$A$6:$B$238,2,FALSE)</f>
        <v>AGENTE DE SERVIÇO DE PARQUE HABILITADO</v>
      </c>
      <c r="D19" s="35">
        <v>390</v>
      </c>
      <c r="E19" s="33" t="str">
        <f>VLOOKUP(D19,[1]apoio_Preços_MGS!$A$6:$F$238,6,FALSE)</f>
        <v>AGENTE DE SERVIÇO DE PARQUE HABILITADO - 12x36 DIURNO - 44H</v>
      </c>
      <c r="F19" s="36">
        <f>IFERROR(VLOOKUP(D19,'[1]apoio_cód catmas'!$B$2:$C$863,2,FALSE),0)</f>
        <v>95125</v>
      </c>
      <c r="G19" s="33" t="str">
        <f>IF(H19="N/A",VLOOKUP(F19&amp;40,'[1]apoio_cód catmas'!$A$1:$G$233,4,FALSE),VLOOKUP(F19&amp;H19,'[1]apoio_cód catmas'!$A$1:$G$233,4,FALSE))</f>
        <v>AGENTE DE SERVICO DE PARQUE HABILITADO - 12X36 DIURNO - 44H</v>
      </c>
      <c r="H19" s="36">
        <v>44</v>
      </c>
      <c r="I19" s="37">
        <v>2.7000000000000003E-2</v>
      </c>
      <c r="J19" s="38" t="s">
        <v>46</v>
      </c>
      <c r="K19" s="39">
        <v>2</v>
      </c>
      <c r="L19" s="39">
        <f t="shared" si="2"/>
        <v>120</v>
      </c>
      <c r="M19" s="40">
        <f>VLOOKUP(D19,[1]apoio_Preços_MGS!$A$6:$AN$238,18,FALSE)</f>
        <v>2150.6883989049652</v>
      </c>
      <c r="N19" s="40">
        <f>VLOOKUP(D19,[1]apoio_Preços_MGS!$A$6:$AN$238,19,FALSE)</f>
        <v>0</v>
      </c>
      <c r="O19" s="40">
        <f>VLOOKUP(D19,[1]apoio_Preços_MGS!$A$6:$AN$238,20,FALSE)</f>
        <v>0</v>
      </c>
      <c r="P19" s="40">
        <f>VLOOKUP(D19,[1]apoio_Preços_MGS!$A$6:$AN$238,21,FALSE)</f>
        <v>0</v>
      </c>
      <c r="Q19" s="40">
        <f>VLOOKUP(D19,[1]apoio_Preços_MGS!$A$6:$AN$238,22,FALSE)</f>
        <v>0</v>
      </c>
      <c r="R19" s="40">
        <f>VLOOKUP(D19,[1]apoio_Preços_MGS!$A$6:$AN$238,23,FALSE)</f>
        <v>0</v>
      </c>
      <c r="S19" s="40">
        <f>VLOOKUP(D19,[1]apoio_Preços_MGS!$A$6:$AN$238,24,FALSE)</f>
        <v>0</v>
      </c>
      <c r="T19" s="40">
        <f>VLOOKUP(D19,[1]apoio_Preços_MGS!$A$6:$AN$238,25,FALSE)</f>
        <v>2.9870672207013409</v>
      </c>
      <c r="U19" s="40">
        <f t="shared" si="3"/>
        <v>2153.6754661256664</v>
      </c>
      <c r="V19" s="41">
        <f>VLOOKUP(D19,[1]apoio_Preços_MGS!$A$6:$AN$238,27,FALSE)</f>
        <v>0.81799999999999995</v>
      </c>
      <c r="W19" s="40">
        <f t="shared" si="4"/>
        <v>1761.7065312907951</v>
      </c>
      <c r="X19" s="40">
        <f>VLOOKUP(D19,[1]apoio_Preços_MGS!$A$6:$AN$238,29,FALSE)</f>
        <v>30.014545454545452</v>
      </c>
      <c r="Y19" s="40">
        <f>VLOOKUP(D19,[1]apoio_Preços_MGS!$A$6:$AN$238,30,FALSE)</f>
        <v>282.32043012772351</v>
      </c>
      <c r="Z19" s="40">
        <f t="shared" si="5"/>
        <v>312.33497558226895</v>
      </c>
      <c r="AA19" s="40">
        <f>VLOOKUP(D19,[1]apoio_Preços_MGS!$A$6:$AN$238,32,FALSE)</f>
        <v>4.1293217258975332</v>
      </c>
      <c r="AB19" s="40">
        <f>VLOOKUP(D19,[1]apoio_Preços_MGS!$A$6:$AN$238,33,FALSE)</f>
        <v>281.74150413223134</v>
      </c>
      <c r="AC19" s="41">
        <f>VLOOKUP(D19,[1]apoio_Preços_MGS!$A$6:$AN$238,34,FALSE)</f>
        <v>0</v>
      </c>
      <c r="AD19" s="40">
        <f>(U19+W19+Z19+AB19+AA19+VLOOKUP(C19,[1]apoio_Prec_Folha!$A:$S,7,FALSE))*AC19</f>
        <v>0</v>
      </c>
      <c r="AE19" s="42">
        <f>VLOOKUP(D19,[1]apoio_Preços_MGS!$A$6:$AN$238,36,FALSE)</f>
        <v>7.0000000000000007E-2</v>
      </c>
      <c r="AF19" s="40">
        <f>(U19+W19+Z19+AB19+AD19+AA19+VLOOKUP(C19,[1]apoio_Prec_Folha!$A:$S,7,FALSE))*AE19</f>
        <v>354.40596410179842</v>
      </c>
      <c r="AG19" s="40">
        <f t="shared" si="6"/>
        <v>4867.99</v>
      </c>
      <c r="AH19" s="43">
        <f t="shared" si="7"/>
        <v>5528.67</v>
      </c>
      <c r="AI19" s="43">
        <f t="shared" si="8"/>
        <v>11057.34</v>
      </c>
      <c r="AJ19" s="43">
        <f t="shared" si="9"/>
        <v>663440.4</v>
      </c>
      <c r="AK19" s="44">
        <f>VLOOKUP(D19,[1]apoio_Preços_MGS!$A$6:$AN$238,39,FALSE)</f>
        <v>200.00000000000003</v>
      </c>
      <c r="AL19" s="44">
        <f>IF(J19="demais municípios",VLOOKUP(D19,[1]apoio_Preços_MGS!$A$6:$AN$238,39,FALSE),0)</f>
        <v>200.00000000000003</v>
      </c>
      <c r="AM19" s="44">
        <v>0</v>
      </c>
      <c r="AN19" s="45">
        <f t="shared" si="18"/>
        <v>400.00000000000006</v>
      </c>
      <c r="AO19" s="44">
        <f>VLOOKUP(D19,[1]apoio_Preços_MGS!$A$6:$AN$238,40,FALSE)</f>
        <v>549.35</v>
      </c>
      <c r="AP19" s="44">
        <f>IF(J19="demais municípios",VLOOKUP(D19,[1]apoio_Preços_MGS!$A$6:$AN$238,40,FALSE),0)</f>
        <v>549.35</v>
      </c>
      <c r="AQ19" s="44">
        <v>0</v>
      </c>
      <c r="AR19" s="45">
        <f t="shared" si="19"/>
        <v>1098.7</v>
      </c>
      <c r="AS19" s="45">
        <f t="shared" si="10"/>
        <v>1498.7</v>
      </c>
      <c r="AT19" s="45">
        <f t="shared" si="13"/>
        <v>89922</v>
      </c>
      <c r="AU19" s="62"/>
      <c r="AV19" s="46"/>
      <c r="AW19" s="47"/>
      <c r="AX19" s="48"/>
      <c r="AY19" s="49"/>
      <c r="BA19" s="48"/>
    </row>
    <row r="20" spans="1:53" ht="19.5" customHeight="1" x14ac:dyDescent="0.25">
      <c r="A20" s="33" t="str">
        <f t="shared" si="0"/>
        <v>95125440,03</v>
      </c>
      <c r="B20" s="33" t="str">
        <f t="shared" si="1"/>
        <v>3900,03</v>
      </c>
      <c r="C20" s="34" t="str">
        <f>VLOOKUP(D20,[1]apoio_Preços_MGS!$A$6:$B$238,2,FALSE)</f>
        <v>AGENTE DE SERVIÇO DE PARQUE HABILITADO</v>
      </c>
      <c r="D20" s="35">
        <v>390</v>
      </c>
      <c r="E20" s="33" t="str">
        <f>VLOOKUP(D20,[1]apoio_Preços_MGS!$A$6:$F$238,6,FALSE)</f>
        <v>AGENTE DE SERVIÇO DE PARQUE HABILITADO - 12x36 DIURNO - 44H</v>
      </c>
      <c r="F20" s="36">
        <f>IFERROR(VLOOKUP(D20,'[1]apoio_cód catmas'!$B$2:$C$863,2,FALSE),0)</f>
        <v>95125</v>
      </c>
      <c r="G20" s="33" t="str">
        <f>IF(H20="N/A",VLOOKUP(F20&amp;40,'[1]apoio_cód catmas'!$A$1:$G$233,4,FALSE),VLOOKUP(F20&amp;H20,'[1]apoio_cód catmas'!$A$1:$G$233,4,FALSE))</f>
        <v>AGENTE DE SERVICO DE PARQUE HABILITADO - 12X36 DIURNO - 44H</v>
      </c>
      <c r="H20" s="36">
        <v>44</v>
      </c>
      <c r="I20" s="37">
        <v>0.03</v>
      </c>
      <c r="J20" s="38" t="s">
        <v>46</v>
      </c>
      <c r="K20" s="39">
        <v>20</v>
      </c>
      <c r="L20" s="39">
        <f t="shared" si="2"/>
        <v>1200</v>
      </c>
      <c r="M20" s="40">
        <f>VLOOKUP(D20,[1]apoio_Preços_MGS!$A$6:$AN$238,18,FALSE)</f>
        <v>2150.6883989049652</v>
      </c>
      <c r="N20" s="40">
        <f>VLOOKUP(D20,[1]apoio_Preços_MGS!$A$6:$AN$238,19,FALSE)</f>
        <v>0</v>
      </c>
      <c r="O20" s="40">
        <f>VLOOKUP(D20,[1]apoio_Preços_MGS!$A$6:$AN$238,20,FALSE)</f>
        <v>0</v>
      </c>
      <c r="P20" s="40">
        <f>VLOOKUP(D20,[1]apoio_Preços_MGS!$A$6:$AN$238,21,FALSE)</f>
        <v>0</v>
      </c>
      <c r="Q20" s="40">
        <f>VLOOKUP(D20,[1]apoio_Preços_MGS!$A$6:$AN$238,22,FALSE)</f>
        <v>0</v>
      </c>
      <c r="R20" s="40">
        <f>VLOOKUP(D20,[1]apoio_Preços_MGS!$A$6:$AN$238,23,FALSE)</f>
        <v>0</v>
      </c>
      <c r="S20" s="40">
        <f>VLOOKUP(D20,[1]apoio_Preços_MGS!$A$6:$AN$238,24,FALSE)</f>
        <v>0</v>
      </c>
      <c r="T20" s="40">
        <f>VLOOKUP(D20,[1]apoio_Preços_MGS!$A$6:$AN$238,25,FALSE)</f>
        <v>2.9870672207013409</v>
      </c>
      <c r="U20" s="40">
        <f t="shared" si="3"/>
        <v>2153.6754661256664</v>
      </c>
      <c r="V20" s="41">
        <f>VLOOKUP(D20,[1]apoio_Preços_MGS!$A$6:$AN$238,27,FALSE)</f>
        <v>0.81799999999999995</v>
      </c>
      <c r="W20" s="40">
        <f t="shared" si="4"/>
        <v>1761.7065312907951</v>
      </c>
      <c r="X20" s="40">
        <f>VLOOKUP(D20,[1]apoio_Preços_MGS!$A$6:$AN$238,29,FALSE)</f>
        <v>30.014545454545452</v>
      </c>
      <c r="Y20" s="40">
        <f>VLOOKUP(D20,[1]apoio_Preços_MGS!$A$6:$AN$238,30,FALSE)</f>
        <v>282.32043012772351</v>
      </c>
      <c r="Z20" s="40">
        <f t="shared" si="5"/>
        <v>312.33497558226895</v>
      </c>
      <c r="AA20" s="40">
        <f>VLOOKUP(D20,[1]apoio_Preços_MGS!$A$6:$AN$238,32,FALSE)</f>
        <v>4.1293217258975332</v>
      </c>
      <c r="AB20" s="40">
        <f>VLOOKUP(D20,[1]apoio_Preços_MGS!$A$6:$AN$238,33,FALSE)</f>
        <v>281.74150413223134</v>
      </c>
      <c r="AC20" s="41">
        <f>VLOOKUP(D20,[1]apoio_Preços_MGS!$A$6:$AN$238,34,FALSE)</f>
        <v>0</v>
      </c>
      <c r="AD20" s="40">
        <f>(U20+W20+Z20+AB20+AA20+VLOOKUP(C20,[1]apoio_Prec_Folha!$A:$S,7,FALSE))*AC20</f>
        <v>0</v>
      </c>
      <c r="AE20" s="42">
        <f>VLOOKUP(D20,[1]apoio_Preços_MGS!$A$6:$AN$238,36,FALSE)</f>
        <v>7.0000000000000007E-2</v>
      </c>
      <c r="AF20" s="40">
        <f>(U20+W20+Z20+AB20+AD20+AA20+VLOOKUP(C20,[1]apoio_Prec_Folha!$A:$S,7,FALSE))*AE20</f>
        <v>354.40596410179842</v>
      </c>
      <c r="AG20" s="40">
        <f t="shared" si="6"/>
        <v>4867.99</v>
      </c>
      <c r="AH20" s="43">
        <f t="shared" si="7"/>
        <v>5547.56</v>
      </c>
      <c r="AI20" s="43">
        <f t="shared" si="8"/>
        <v>110951.20000000001</v>
      </c>
      <c r="AJ20" s="43">
        <f t="shared" si="9"/>
        <v>6657072.0000000009</v>
      </c>
      <c r="AK20" s="44">
        <f>VLOOKUP(D20,[1]apoio_Preços_MGS!$A$6:$AN$238,39,FALSE)</f>
        <v>200.00000000000003</v>
      </c>
      <c r="AL20" s="44">
        <f>IF(J20="demais municípios",VLOOKUP(D20,[1]apoio_Preços_MGS!$A$6:$AN$238,39,FALSE),0)</f>
        <v>200.00000000000003</v>
      </c>
      <c r="AM20" s="44">
        <v>0</v>
      </c>
      <c r="AN20" s="45">
        <f t="shared" si="18"/>
        <v>4000.0000000000005</v>
      </c>
      <c r="AO20" s="44">
        <f>VLOOKUP(D20,[1]apoio_Preços_MGS!$A$6:$AN$238,40,FALSE)</f>
        <v>549.35</v>
      </c>
      <c r="AP20" s="44">
        <f>IF(J20="demais municípios",VLOOKUP(D20,[1]apoio_Preços_MGS!$A$6:$AN$238,40,FALSE),0)</f>
        <v>549.35</v>
      </c>
      <c r="AQ20" s="44">
        <v>0</v>
      </c>
      <c r="AR20" s="45">
        <f t="shared" si="19"/>
        <v>10987</v>
      </c>
      <c r="AS20" s="45">
        <f t="shared" si="10"/>
        <v>14987</v>
      </c>
      <c r="AT20" s="45">
        <f t="shared" si="13"/>
        <v>899220</v>
      </c>
      <c r="AU20" s="62"/>
      <c r="AV20" s="46"/>
      <c r="AW20" s="47"/>
      <c r="AX20" s="48"/>
      <c r="AY20" s="49"/>
      <c r="BA20" s="48"/>
    </row>
    <row r="21" spans="1:53" ht="19.5" customHeight="1" x14ac:dyDescent="0.25">
      <c r="A21" s="33" t="str">
        <f t="shared" si="0"/>
        <v>95125440,05</v>
      </c>
      <c r="B21" s="33" t="str">
        <f t="shared" si="1"/>
        <v>3900,05</v>
      </c>
      <c r="C21" s="34" t="str">
        <f>VLOOKUP(D21,[1]apoio_Preços_MGS!$A$6:$B$238,2,FALSE)</f>
        <v>AGENTE DE SERVIÇO DE PARQUE HABILITADO</v>
      </c>
      <c r="D21" s="35">
        <v>390</v>
      </c>
      <c r="E21" s="33" t="str">
        <f>VLOOKUP(D21,[1]apoio_Preços_MGS!$A$6:$F$238,6,FALSE)</f>
        <v>AGENTE DE SERVIÇO DE PARQUE HABILITADO - 12x36 DIURNO - 44H</v>
      </c>
      <c r="F21" s="36">
        <f>IFERROR(VLOOKUP(D21,'[1]apoio_cód catmas'!$B$2:$C$863,2,FALSE),0)</f>
        <v>95125</v>
      </c>
      <c r="G21" s="33" t="str">
        <f>IF(H21="N/A",VLOOKUP(F21&amp;40,'[1]apoio_cód catmas'!$A$1:$G$233,4,FALSE),VLOOKUP(F21&amp;H21,'[1]apoio_cód catmas'!$A$1:$G$233,4,FALSE))</f>
        <v>AGENTE DE SERVICO DE PARQUE HABILITADO - 12X36 DIURNO - 44H</v>
      </c>
      <c r="H21" s="36">
        <v>44</v>
      </c>
      <c r="I21" s="37">
        <v>0.05</v>
      </c>
      <c r="J21" s="38" t="s">
        <v>46</v>
      </c>
      <c r="K21" s="39">
        <v>1</v>
      </c>
      <c r="L21" s="39">
        <f t="shared" si="2"/>
        <v>60</v>
      </c>
      <c r="M21" s="40">
        <f>VLOOKUP(D21,[1]apoio_Preços_MGS!$A$6:$AN$238,18,FALSE)</f>
        <v>2150.6883989049652</v>
      </c>
      <c r="N21" s="40">
        <f>VLOOKUP(D21,[1]apoio_Preços_MGS!$A$6:$AN$238,19,FALSE)</f>
        <v>0</v>
      </c>
      <c r="O21" s="40">
        <f>VLOOKUP(D21,[1]apoio_Preços_MGS!$A$6:$AN$238,20,FALSE)</f>
        <v>0</v>
      </c>
      <c r="P21" s="40">
        <f>VLOOKUP(D21,[1]apoio_Preços_MGS!$A$6:$AN$238,21,FALSE)</f>
        <v>0</v>
      </c>
      <c r="Q21" s="40">
        <f>VLOOKUP(D21,[1]apoio_Preços_MGS!$A$6:$AN$238,22,FALSE)</f>
        <v>0</v>
      </c>
      <c r="R21" s="40">
        <f>VLOOKUP(D21,[1]apoio_Preços_MGS!$A$6:$AN$238,23,FALSE)</f>
        <v>0</v>
      </c>
      <c r="S21" s="40">
        <f>VLOOKUP(D21,[1]apoio_Preços_MGS!$A$6:$AN$238,24,FALSE)</f>
        <v>0</v>
      </c>
      <c r="T21" s="40">
        <f>VLOOKUP(D21,[1]apoio_Preços_MGS!$A$6:$AN$238,25,FALSE)</f>
        <v>2.9870672207013409</v>
      </c>
      <c r="U21" s="40">
        <f t="shared" si="3"/>
        <v>2153.6754661256664</v>
      </c>
      <c r="V21" s="41">
        <f>VLOOKUP(D21,[1]apoio_Preços_MGS!$A$6:$AN$238,27,FALSE)</f>
        <v>0.81799999999999995</v>
      </c>
      <c r="W21" s="40">
        <f t="shared" si="4"/>
        <v>1761.7065312907951</v>
      </c>
      <c r="X21" s="40">
        <f>VLOOKUP(D21,[1]apoio_Preços_MGS!$A$6:$AN$238,29,FALSE)</f>
        <v>30.014545454545452</v>
      </c>
      <c r="Y21" s="40">
        <f>VLOOKUP(D21,[1]apoio_Preços_MGS!$A$6:$AN$238,30,FALSE)</f>
        <v>282.32043012772351</v>
      </c>
      <c r="Z21" s="40">
        <f t="shared" si="5"/>
        <v>312.33497558226895</v>
      </c>
      <c r="AA21" s="40">
        <f>VLOOKUP(D21,[1]apoio_Preços_MGS!$A$6:$AN$238,32,FALSE)</f>
        <v>4.1293217258975332</v>
      </c>
      <c r="AB21" s="40">
        <f>VLOOKUP(D21,[1]apoio_Preços_MGS!$A$6:$AN$238,33,FALSE)</f>
        <v>281.74150413223134</v>
      </c>
      <c r="AC21" s="41">
        <f>VLOOKUP(D21,[1]apoio_Preços_MGS!$A$6:$AN$238,34,FALSE)</f>
        <v>0</v>
      </c>
      <c r="AD21" s="40">
        <f>(U21+W21+Z21+AB21+AA21+VLOOKUP(C21,[1]apoio_Prec_Folha!$A:$S,7,FALSE))*AC21</f>
        <v>0</v>
      </c>
      <c r="AE21" s="42">
        <f>VLOOKUP(D21,[1]apoio_Preços_MGS!$A$6:$AN$238,36,FALSE)</f>
        <v>7.0000000000000007E-2</v>
      </c>
      <c r="AF21" s="40">
        <f>(U21+W21+Z21+AB21+AD21+AA21+VLOOKUP(C21,[1]apoio_Prec_Folha!$A:$S,7,FALSE))*AE21</f>
        <v>354.40596410179842</v>
      </c>
      <c r="AG21" s="40">
        <f t="shared" si="6"/>
        <v>4867.99</v>
      </c>
      <c r="AH21" s="43">
        <f t="shared" si="7"/>
        <v>5676.95</v>
      </c>
      <c r="AI21" s="43">
        <f t="shared" si="8"/>
        <v>5676.95</v>
      </c>
      <c r="AJ21" s="43">
        <f t="shared" si="9"/>
        <v>340617</v>
      </c>
      <c r="AK21" s="44">
        <f>VLOOKUP(D21,[1]apoio_Preços_MGS!$A$6:$AN$238,39,FALSE)</f>
        <v>200.00000000000003</v>
      </c>
      <c r="AL21" s="44">
        <f>IF(J21="demais municípios",VLOOKUP(D21,[1]apoio_Preços_MGS!$A$6:$AN$238,39,FALSE),0)</f>
        <v>200.00000000000003</v>
      </c>
      <c r="AM21" s="44">
        <v>0</v>
      </c>
      <c r="AN21" s="45">
        <f t="shared" si="18"/>
        <v>200.00000000000003</v>
      </c>
      <c r="AO21" s="44">
        <f>VLOOKUP(D21,[1]apoio_Preços_MGS!$A$6:$AN$238,40,FALSE)</f>
        <v>549.35</v>
      </c>
      <c r="AP21" s="44">
        <f>IF(J21="demais municípios",VLOOKUP(D21,[1]apoio_Preços_MGS!$A$6:$AN$238,40,FALSE),0)</f>
        <v>549.35</v>
      </c>
      <c r="AQ21" s="44">
        <v>0</v>
      </c>
      <c r="AR21" s="45">
        <f t="shared" si="19"/>
        <v>549.35</v>
      </c>
      <c r="AS21" s="45">
        <f t="shared" si="10"/>
        <v>749.35</v>
      </c>
      <c r="AT21" s="45">
        <f t="shared" si="13"/>
        <v>44961</v>
      </c>
      <c r="AU21" s="62"/>
      <c r="AV21" s="46"/>
      <c r="AW21" s="47"/>
      <c r="AX21" s="48"/>
      <c r="AY21" s="49"/>
      <c r="BA21" s="48"/>
    </row>
    <row r="22" spans="1:53" ht="19.5" customHeight="1" x14ac:dyDescent="0.25">
      <c r="A22" s="33" t="str">
        <f t="shared" si="0"/>
        <v>95133440,02</v>
      </c>
      <c r="B22" s="33" t="str">
        <f t="shared" si="1"/>
        <v>3920,02</v>
      </c>
      <c r="C22" s="34" t="str">
        <f>VLOOKUP(D22,[1]apoio_Preços_MGS!$A$6:$B$238,2,FALSE)</f>
        <v>AGENTE DE SERVIÇO DE PARQUE HABILITADO</v>
      </c>
      <c r="D22" s="35">
        <v>392</v>
      </c>
      <c r="E22" s="33" t="str">
        <f>VLOOKUP(D22,[1]apoio_Preços_MGS!$A$6:$F$238,6,FALSE)</f>
        <v>AGENTE DE SERVIÇO DE PARQUE HABILITADO - (PERIC.) - 12x36 DIURNO - 44H</v>
      </c>
      <c r="F22" s="36">
        <f>IFERROR(VLOOKUP(D22,'[1]apoio_cód catmas'!$B$2:$C$863,2,FALSE),0)</f>
        <v>95133</v>
      </c>
      <c r="G22" s="33" t="str">
        <f>IF(H22="N/A",VLOOKUP(F22&amp;40,'[1]apoio_cód catmas'!$A$1:$G$233,4,FALSE),VLOOKUP(F22&amp;H22,'[1]apoio_cód catmas'!$A$1:$G$233,4,FALSE))</f>
        <v>AGENTE DE SERVICO DE PARQUE HABILITADO - 12X36 DIURNO (PERICULOSIDADE) - 44H</v>
      </c>
      <c r="H22" s="36">
        <v>44</v>
      </c>
      <c r="I22" s="37">
        <v>0.02</v>
      </c>
      <c r="J22" s="38" t="s">
        <v>46</v>
      </c>
      <c r="K22" s="39">
        <v>4</v>
      </c>
      <c r="L22" s="39">
        <f t="shared" si="2"/>
        <v>240</v>
      </c>
      <c r="M22" s="40">
        <f>VLOOKUP(D22,[1]apoio_Preços_MGS!$A$6:$AN$238,18,FALSE)</f>
        <v>2150.6883989049652</v>
      </c>
      <c r="N22" s="40">
        <f>VLOOKUP(D22,[1]apoio_Preços_MGS!$A$6:$AN$238,19,FALSE)</f>
        <v>645.20651967148956</v>
      </c>
      <c r="O22" s="40">
        <f>VLOOKUP(D22,[1]apoio_Preços_MGS!$A$6:$AN$238,20,FALSE)</f>
        <v>0</v>
      </c>
      <c r="P22" s="40">
        <f>VLOOKUP(D22,[1]apoio_Preços_MGS!$A$6:$AN$238,21,FALSE)</f>
        <v>0</v>
      </c>
      <c r="Q22" s="40">
        <f>VLOOKUP(D22,[1]apoio_Preços_MGS!$A$6:$AN$238,22,FALSE)</f>
        <v>0</v>
      </c>
      <c r="R22" s="40">
        <f>VLOOKUP(D22,[1]apoio_Preços_MGS!$A$6:$AN$238,23,FALSE)</f>
        <v>0</v>
      </c>
      <c r="S22" s="40">
        <f>VLOOKUP(D22,[1]apoio_Preços_MGS!$A$6:$AN$238,24,FALSE)</f>
        <v>0</v>
      </c>
      <c r="T22" s="40">
        <f>VLOOKUP(D22,[1]apoio_Preços_MGS!$A$6:$AN$238,25,FALSE)</f>
        <v>3.883187386911743</v>
      </c>
      <c r="U22" s="40">
        <f t="shared" si="3"/>
        <v>2799.7781059633667</v>
      </c>
      <c r="V22" s="41">
        <f>VLOOKUP(D22,[1]apoio_Preços_MGS!$A$6:$AN$238,27,FALSE)</f>
        <v>0.81799999999999995</v>
      </c>
      <c r="W22" s="40">
        <f t="shared" si="4"/>
        <v>2290.218490678034</v>
      </c>
      <c r="X22" s="40">
        <f>VLOOKUP(D22,[1]apoio_Preços_MGS!$A$6:$AN$238,29,FALSE)</f>
        <v>30.014545454545452</v>
      </c>
      <c r="Y22" s="40">
        <f>VLOOKUP(D22,[1]apoio_Preços_MGS!$A$6:$AN$238,30,FALSE)</f>
        <v>282.32043012772351</v>
      </c>
      <c r="Z22" s="40">
        <f t="shared" si="5"/>
        <v>312.33497558226895</v>
      </c>
      <c r="AA22" s="40">
        <f>VLOOKUP(D22,[1]apoio_Preços_MGS!$A$6:$AN$238,32,FALSE)</f>
        <v>4.1293217258975332</v>
      </c>
      <c r="AB22" s="40">
        <f>VLOOKUP(D22,[1]apoio_Preços_MGS!$A$6:$AN$238,33,FALSE)</f>
        <v>281.74150413223134</v>
      </c>
      <c r="AC22" s="41">
        <f>VLOOKUP(D22,[1]apoio_Preços_MGS!$A$6:$AN$238,34,FALSE)</f>
        <v>0</v>
      </c>
      <c r="AD22" s="40">
        <f>(U22+W22+Z22+AB22+AA22+VLOOKUP(C22,[1]apoio_Prec_Folha!$A:$S,7,FALSE))*AC22</f>
        <v>0</v>
      </c>
      <c r="AE22" s="42">
        <f>VLOOKUP(D22,[1]apoio_Preços_MGS!$A$6:$AN$238,36,FALSE)</f>
        <v>7.0000000000000007E-2</v>
      </c>
      <c r="AF22" s="40">
        <f>(U22+W22+Z22+AB22+AD22+AA22+VLOOKUP(C22,[1]apoio_Prec_Folha!$A:$S,7,FALSE))*AE22</f>
        <v>436.62898604754412</v>
      </c>
      <c r="AG22" s="40">
        <f t="shared" si="6"/>
        <v>6124.83</v>
      </c>
      <c r="AH22" s="43">
        <f t="shared" si="7"/>
        <v>6901.21</v>
      </c>
      <c r="AI22" s="43">
        <f t="shared" si="8"/>
        <v>27604.84</v>
      </c>
      <c r="AJ22" s="43">
        <f t="shared" si="9"/>
        <v>1656290.4</v>
      </c>
      <c r="AK22" s="44">
        <f>VLOOKUP(D22,[1]apoio_Preços_MGS!$A$6:$AN$238,39,FALSE)</f>
        <v>200.00000000000003</v>
      </c>
      <c r="AL22" s="44">
        <f>IF(J22="demais municípios",VLOOKUP(D22,[1]apoio_Preços_MGS!$A$6:$AN$238,39,FALSE),0)</f>
        <v>200.00000000000003</v>
      </c>
      <c r="AM22" s="44">
        <v>0</v>
      </c>
      <c r="AN22" s="45">
        <f t="shared" si="18"/>
        <v>800.00000000000011</v>
      </c>
      <c r="AO22" s="44">
        <f>VLOOKUP(D22,[1]apoio_Preços_MGS!$A$6:$AN$238,40,FALSE)</f>
        <v>549.35</v>
      </c>
      <c r="AP22" s="44">
        <f>IF(J22="demais municípios",VLOOKUP(D22,[1]apoio_Preços_MGS!$A$6:$AN$238,40,FALSE),0)</f>
        <v>549.35</v>
      </c>
      <c r="AQ22" s="44">
        <v>0</v>
      </c>
      <c r="AR22" s="45">
        <f t="shared" si="19"/>
        <v>2197.4</v>
      </c>
      <c r="AS22" s="45">
        <f t="shared" si="10"/>
        <v>2997.4</v>
      </c>
      <c r="AT22" s="45">
        <f t="shared" si="13"/>
        <v>179844</v>
      </c>
      <c r="AU22" s="62"/>
      <c r="AV22" s="46"/>
      <c r="AW22" s="47"/>
      <c r="AX22" s="48"/>
      <c r="AY22" s="49"/>
      <c r="BA22" s="48"/>
    </row>
    <row r="23" spans="1:53" ht="19.5" customHeight="1" x14ac:dyDescent="0.25">
      <c r="A23" s="33" t="str">
        <f t="shared" si="0"/>
        <v>95133440,027</v>
      </c>
      <c r="B23" s="33" t="str">
        <f t="shared" si="1"/>
        <v>3920,027</v>
      </c>
      <c r="C23" s="34" t="str">
        <f>VLOOKUP(D23,[1]apoio_Preços_MGS!$A$6:$B$238,2,FALSE)</f>
        <v>AGENTE DE SERVIÇO DE PARQUE HABILITADO</v>
      </c>
      <c r="D23" s="35">
        <v>392</v>
      </c>
      <c r="E23" s="33" t="str">
        <f>VLOOKUP(D23,[1]apoio_Preços_MGS!$A$6:$F$238,6,FALSE)</f>
        <v>AGENTE DE SERVIÇO DE PARQUE HABILITADO - (PERIC.) - 12x36 DIURNO - 44H</v>
      </c>
      <c r="F23" s="36">
        <f>IFERROR(VLOOKUP(D23,'[1]apoio_cód catmas'!$B$2:$C$863,2,FALSE),0)</f>
        <v>95133</v>
      </c>
      <c r="G23" s="33" t="str">
        <f>IF(H23="N/A",VLOOKUP(F23&amp;40,'[1]apoio_cód catmas'!$A$1:$G$233,4,FALSE),VLOOKUP(F23&amp;H23,'[1]apoio_cód catmas'!$A$1:$G$233,4,FALSE))</f>
        <v>AGENTE DE SERVICO DE PARQUE HABILITADO - 12X36 DIURNO (PERICULOSIDADE) - 44H</v>
      </c>
      <c r="H23" s="36">
        <v>44</v>
      </c>
      <c r="I23" s="37">
        <v>2.7000000000000003E-2</v>
      </c>
      <c r="J23" s="38" t="s">
        <v>46</v>
      </c>
      <c r="K23" s="39">
        <v>4</v>
      </c>
      <c r="L23" s="39">
        <f t="shared" si="2"/>
        <v>240</v>
      </c>
      <c r="M23" s="40">
        <f>VLOOKUP(D23,[1]apoio_Preços_MGS!$A$6:$AN$238,18,FALSE)</f>
        <v>2150.6883989049652</v>
      </c>
      <c r="N23" s="40">
        <f>VLOOKUP(D23,[1]apoio_Preços_MGS!$A$6:$AN$238,19,FALSE)</f>
        <v>645.20651967148956</v>
      </c>
      <c r="O23" s="40">
        <f>VLOOKUP(D23,[1]apoio_Preços_MGS!$A$6:$AN$238,20,FALSE)</f>
        <v>0</v>
      </c>
      <c r="P23" s="40">
        <f>VLOOKUP(D23,[1]apoio_Preços_MGS!$A$6:$AN$238,21,FALSE)</f>
        <v>0</v>
      </c>
      <c r="Q23" s="40">
        <f>VLOOKUP(D23,[1]apoio_Preços_MGS!$A$6:$AN$238,22,FALSE)</f>
        <v>0</v>
      </c>
      <c r="R23" s="40">
        <f>VLOOKUP(D23,[1]apoio_Preços_MGS!$A$6:$AN$238,23,FALSE)</f>
        <v>0</v>
      </c>
      <c r="S23" s="40">
        <f>VLOOKUP(D23,[1]apoio_Preços_MGS!$A$6:$AN$238,24,FALSE)</f>
        <v>0</v>
      </c>
      <c r="T23" s="40">
        <f>VLOOKUP(D23,[1]apoio_Preços_MGS!$A$6:$AN$238,25,FALSE)</f>
        <v>3.883187386911743</v>
      </c>
      <c r="U23" s="40">
        <f t="shared" si="3"/>
        <v>2799.7781059633667</v>
      </c>
      <c r="V23" s="41">
        <f>VLOOKUP(D23,[1]apoio_Preços_MGS!$A$6:$AN$238,27,FALSE)</f>
        <v>0.81799999999999995</v>
      </c>
      <c r="W23" s="40">
        <f t="shared" si="4"/>
        <v>2290.218490678034</v>
      </c>
      <c r="X23" s="40">
        <f>VLOOKUP(D23,[1]apoio_Preços_MGS!$A$6:$AN$238,29,FALSE)</f>
        <v>30.014545454545452</v>
      </c>
      <c r="Y23" s="40">
        <f>VLOOKUP(D23,[1]apoio_Preços_MGS!$A$6:$AN$238,30,FALSE)</f>
        <v>282.32043012772351</v>
      </c>
      <c r="Z23" s="40">
        <f t="shared" si="5"/>
        <v>312.33497558226895</v>
      </c>
      <c r="AA23" s="40">
        <f>VLOOKUP(D23,[1]apoio_Preços_MGS!$A$6:$AN$238,32,FALSE)</f>
        <v>4.1293217258975332</v>
      </c>
      <c r="AB23" s="40">
        <f>VLOOKUP(D23,[1]apoio_Preços_MGS!$A$6:$AN$238,33,FALSE)</f>
        <v>281.74150413223134</v>
      </c>
      <c r="AC23" s="41">
        <f>VLOOKUP(D23,[1]apoio_Preços_MGS!$A$6:$AN$238,34,FALSE)</f>
        <v>0</v>
      </c>
      <c r="AD23" s="40">
        <f>(U23+W23+Z23+AB23+AA23+VLOOKUP(C23,[1]apoio_Prec_Folha!$A:$S,7,FALSE))*AC23</f>
        <v>0</v>
      </c>
      <c r="AE23" s="42">
        <f>VLOOKUP(D23,[1]apoio_Preços_MGS!$A$6:$AN$238,36,FALSE)</f>
        <v>7.0000000000000007E-2</v>
      </c>
      <c r="AF23" s="40">
        <f>(U23+W23+Z23+AB23+AD23+AA23+VLOOKUP(C23,[1]apoio_Prec_Folha!$A:$S,7,FALSE))*AE23</f>
        <v>436.62898604754412</v>
      </c>
      <c r="AG23" s="40">
        <f t="shared" si="6"/>
        <v>6124.83</v>
      </c>
      <c r="AH23" s="43">
        <f t="shared" si="7"/>
        <v>6956.09</v>
      </c>
      <c r="AI23" s="43">
        <f t="shared" si="8"/>
        <v>27824.36</v>
      </c>
      <c r="AJ23" s="43">
        <f t="shared" si="9"/>
        <v>1669461.6</v>
      </c>
      <c r="AK23" s="44">
        <f>VLOOKUP(D23,[1]apoio_Preços_MGS!$A$6:$AN$238,39,FALSE)</f>
        <v>200.00000000000003</v>
      </c>
      <c r="AL23" s="44">
        <f>IF(J23="demais municípios",VLOOKUP(D23,[1]apoio_Preços_MGS!$A$6:$AN$238,39,FALSE),0)</f>
        <v>200.00000000000003</v>
      </c>
      <c r="AM23" s="44">
        <v>0</v>
      </c>
      <c r="AN23" s="45">
        <f t="shared" si="18"/>
        <v>800.00000000000011</v>
      </c>
      <c r="AO23" s="44">
        <f>VLOOKUP(D23,[1]apoio_Preços_MGS!$A$6:$AN$238,40,FALSE)</f>
        <v>549.35</v>
      </c>
      <c r="AP23" s="44">
        <f>IF(J23="demais municípios",VLOOKUP(D23,[1]apoio_Preços_MGS!$A$6:$AN$238,40,FALSE),0)</f>
        <v>549.35</v>
      </c>
      <c r="AQ23" s="44">
        <v>0</v>
      </c>
      <c r="AR23" s="45">
        <f t="shared" si="19"/>
        <v>2197.4</v>
      </c>
      <c r="AS23" s="45">
        <f t="shared" si="10"/>
        <v>2997.4</v>
      </c>
      <c r="AT23" s="45">
        <f t="shared" si="13"/>
        <v>179844</v>
      </c>
      <c r="AU23" s="62"/>
      <c r="AV23" s="46"/>
      <c r="AW23" s="47"/>
      <c r="AX23" s="48"/>
      <c r="AY23" s="49"/>
      <c r="BA23" s="48"/>
    </row>
    <row r="24" spans="1:53" ht="19.5" customHeight="1" x14ac:dyDescent="0.25">
      <c r="A24" s="33" t="str">
        <f t="shared" si="0"/>
        <v>95133440,03</v>
      </c>
      <c r="B24" s="33" t="str">
        <f t="shared" si="1"/>
        <v>3920,03</v>
      </c>
      <c r="C24" s="34" t="str">
        <f>VLOOKUP(D24,[1]apoio_Preços_MGS!$A$6:$B$238,2,FALSE)</f>
        <v>AGENTE DE SERVIÇO DE PARQUE HABILITADO</v>
      </c>
      <c r="D24" s="35">
        <v>392</v>
      </c>
      <c r="E24" s="33" t="str">
        <f>VLOOKUP(D24,[1]apoio_Preços_MGS!$A$6:$F$238,6,FALSE)</f>
        <v>AGENTE DE SERVIÇO DE PARQUE HABILITADO - (PERIC.) - 12x36 DIURNO - 44H</v>
      </c>
      <c r="F24" s="36">
        <f>IFERROR(VLOOKUP(D24,'[1]apoio_cód catmas'!$B$2:$C$863,2,FALSE),0)</f>
        <v>95133</v>
      </c>
      <c r="G24" s="33" t="str">
        <f>IF(H24="N/A",VLOOKUP(F24&amp;40,'[1]apoio_cód catmas'!$A$1:$G$233,4,FALSE),VLOOKUP(F24&amp;H24,'[1]apoio_cód catmas'!$A$1:$G$233,4,FALSE))</f>
        <v>AGENTE DE SERVICO DE PARQUE HABILITADO - 12X36 DIURNO (PERICULOSIDADE) - 44H</v>
      </c>
      <c r="H24" s="36">
        <v>44</v>
      </c>
      <c r="I24" s="37">
        <v>0.03</v>
      </c>
      <c r="J24" s="38" t="s">
        <v>46</v>
      </c>
      <c r="K24" s="39">
        <v>11</v>
      </c>
      <c r="L24" s="39">
        <f t="shared" si="2"/>
        <v>660</v>
      </c>
      <c r="M24" s="40">
        <f>VLOOKUP(D24,[1]apoio_Preços_MGS!$A$6:$AN$238,18,FALSE)</f>
        <v>2150.6883989049652</v>
      </c>
      <c r="N24" s="40">
        <f>VLOOKUP(D24,[1]apoio_Preços_MGS!$A$6:$AN$238,19,FALSE)</f>
        <v>645.20651967148956</v>
      </c>
      <c r="O24" s="40">
        <f>VLOOKUP(D24,[1]apoio_Preços_MGS!$A$6:$AN$238,20,FALSE)</f>
        <v>0</v>
      </c>
      <c r="P24" s="40">
        <f>VLOOKUP(D24,[1]apoio_Preços_MGS!$A$6:$AN$238,21,FALSE)</f>
        <v>0</v>
      </c>
      <c r="Q24" s="40">
        <f>VLOOKUP(D24,[1]apoio_Preços_MGS!$A$6:$AN$238,22,FALSE)</f>
        <v>0</v>
      </c>
      <c r="R24" s="40">
        <f>VLOOKUP(D24,[1]apoio_Preços_MGS!$A$6:$AN$238,23,FALSE)</f>
        <v>0</v>
      </c>
      <c r="S24" s="40">
        <f>VLOOKUP(D24,[1]apoio_Preços_MGS!$A$6:$AN$238,24,FALSE)</f>
        <v>0</v>
      </c>
      <c r="T24" s="40">
        <f>VLOOKUP(D24,[1]apoio_Preços_MGS!$A$6:$AN$238,25,FALSE)</f>
        <v>3.883187386911743</v>
      </c>
      <c r="U24" s="40">
        <f t="shared" si="3"/>
        <v>2799.7781059633667</v>
      </c>
      <c r="V24" s="41">
        <f>VLOOKUP(D24,[1]apoio_Preços_MGS!$A$6:$AN$238,27,FALSE)</f>
        <v>0.81799999999999995</v>
      </c>
      <c r="W24" s="40">
        <f t="shared" si="4"/>
        <v>2290.218490678034</v>
      </c>
      <c r="X24" s="40">
        <f>VLOOKUP(D24,[1]apoio_Preços_MGS!$A$6:$AN$238,29,FALSE)</f>
        <v>30.014545454545452</v>
      </c>
      <c r="Y24" s="40">
        <f>VLOOKUP(D24,[1]apoio_Preços_MGS!$A$6:$AN$238,30,FALSE)</f>
        <v>282.32043012772351</v>
      </c>
      <c r="Z24" s="40">
        <f t="shared" si="5"/>
        <v>312.33497558226895</v>
      </c>
      <c r="AA24" s="40">
        <f>VLOOKUP(D24,[1]apoio_Preços_MGS!$A$6:$AN$238,32,FALSE)</f>
        <v>4.1293217258975332</v>
      </c>
      <c r="AB24" s="40">
        <f>VLOOKUP(D24,[1]apoio_Preços_MGS!$A$6:$AN$238,33,FALSE)</f>
        <v>281.74150413223134</v>
      </c>
      <c r="AC24" s="41">
        <f>VLOOKUP(D24,[1]apoio_Preços_MGS!$A$6:$AN$238,34,FALSE)</f>
        <v>0</v>
      </c>
      <c r="AD24" s="40">
        <f>(U24+W24+Z24+AB24+AA24+VLOOKUP(C24,[1]apoio_Prec_Folha!$A:$S,7,FALSE))*AC24</f>
        <v>0</v>
      </c>
      <c r="AE24" s="42">
        <f>VLOOKUP(D24,[1]apoio_Preços_MGS!$A$6:$AN$238,36,FALSE)</f>
        <v>7.0000000000000007E-2</v>
      </c>
      <c r="AF24" s="40">
        <f>(U24+W24+Z24+AB24+AD24+AA24+VLOOKUP(C24,[1]apoio_Prec_Folha!$A:$S,7,FALSE))*AE24</f>
        <v>436.62898604754412</v>
      </c>
      <c r="AG24" s="40">
        <f t="shared" si="6"/>
        <v>6124.83</v>
      </c>
      <c r="AH24" s="43">
        <f t="shared" si="7"/>
        <v>6979.85</v>
      </c>
      <c r="AI24" s="43">
        <f t="shared" si="8"/>
        <v>76778.350000000006</v>
      </c>
      <c r="AJ24" s="43">
        <f t="shared" si="9"/>
        <v>4606701</v>
      </c>
      <c r="AK24" s="44">
        <f>VLOOKUP(D24,[1]apoio_Preços_MGS!$A$6:$AN$238,39,FALSE)</f>
        <v>200.00000000000003</v>
      </c>
      <c r="AL24" s="44">
        <f>IF(J24="demais municípios",VLOOKUP(D24,[1]apoio_Preços_MGS!$A$6:$AN$238,39,FALSE),0)</f>
        <v>200.00000000000003</v>
      </c>
      <c r="AM24" s="44">
        <v>0</v>
      </c>
      <c r="AN24" s="45">
        <f t="shared" si="18"/>
        <v>2200.0000000000005</v>
      </c>
      <c r="AO24" s="44">
        <f>VLOOKUP(D24,[1]apoio_Preços_MGS!$A$6:$AN$238,40,FALSE)</f>
        <v>549.35</v>
      </c>
      <c r="AP24" s="44">
        <f>IF(J24="demais municípios",VLOOKUP(D24,[1]apoio_Preços_MGS!$A$6:$AN$238,40,FALSE),0)</f>
        <v>549.35</v>
      </c>
      <c r="AQ24" s="44">
        <v>0</v>
      </c>
      <c r="AR24" s="45">
        <f t="shared" si="19"/>
        <v>6042.85</v>
      </c>
      <c r="AS24" s="45">
        <f t="shared" si="10"/>
        <v>8242.85</v>
      </c>
      <c r="AT24" s="45">
        <f t="shared" si="13"/>
        <v>494571</v>
      </c>
      <c r="AU24" s="62"/>
      <c r="AV24" s="46"/>
      <c r="AW24" s="47"/>
      <c r="AX24" s="48"/>
      <c r="AY24" s="49"/>
      <c r="BA24" s="48"/>
    </row>
    <row r="25" spans="1:53" ht="19.5" customHeight="1" x14ac:dyDescent="0.25">
      <c r="A25" s="33" t="str">
        <f t="shared" si="0"/>
        <v>95133440,05</v>
      </c>
      <c r="B25" s="33" t="str">
        <f t="shared" si="1"/>
        <v>3920,05</v>
      </c>
      <c r="C25" s="34" t="str">
        <f>VLOOKUP(D25,[1]apoio_Preços_MGS!$A$6:$B$238,2,FALSE)</f>
        <v>AGENTE DE SERVIÇO DE PARQUE HABILITADO</v>
      </c>
      <c r="D25" s="35">
        <v>392</v>
      </c>
      <c r="E25" s="33" t="str">
        <f>VLOOKUP(D25,[1]apoio_Preços_MGS!$A$6:$F$238,6,FALSE)</f>
        <v>AGENTE DE SERVIÇO DE PARQUE HABILITADO - (PERIC.) - 12x36 DIURNO - 44H</v>
      </c>
      <c r="F25" s="36">
        <f>IFERROR(VLOOKUP(D25,'[1]apoio_cód catmas'!$B$2:$C$863,2,FALSE),0)</f>
        <v>95133</v>
      </c>
      <c r="G25" s="33" t="str">
        <f>IF(H25="N/A",VLOOKUP(F25&amp;40,'[1]apoio_cód catmas'!$A$1:$G$233,4,FALSE),VLOOKUP(F25&amp;H25,'[1]apoio_cód catmas'!$A$1:$G$233,4,FALSE))</f>
        <v>AGENTE DE SERVICO DE PARQUE HABILITADO - 12X36 DIURNO (PERICULOSIDADE) - 44H</v>
      </c>
      <c r="H25" s="36">
        <v>44</v>
      </c>
      <c r="I25" s="37">
        <v>0.05</v>
      </c>
      <c r="J25" s="38" t="s">
        <v>46</v>
      </c>
      <c r="K25" s="39">
        <v>2</v>
      </c>
      <c r="L25" s="39">
        <f t="shared" si="2"/>
        <v>120</v>
      </c>
      <c r="M25" s="40">
        <f>VLOOKUP(D25,[1]apoio_Preços_MGS!$A$6:$AN$238,18,FALSE)</f>
        <v>2150.6883989049652</v>
      </c>
      <c r="N25" s="40">
        <f>VLOOKUP(D25,[1]apoio_Preços_MGS!$A$6:$AN$238,19,FALSE)</f>
        <v>645.20651967148956</v>
      </c>
      <c r="O25" s="40">
        <f>VLOOKUP(D25,[1]apoio_Preços_MGS!$A$6:$AN$238,20,FALSE)</f>
        <v>0</v>
      </c>
      <c r="P25" s="40">
        <f>VLOOKUP(D25,[1]apoio_Preços_MGS!$A$6:$AN$238,21,FALSE)</f>
        <v>0</v>
      </c>
      <c r="Q25" s="40">
        <f>VLOOKUP(D25,[1]apoio_Preços_MGS!$A$6:$AN$238,22,FALSE)</f>
        <v>0</v>
      </c>
      <c r="R25" s="40">
        <f>VLOOKUP(D25,[1]apoio_Preços_MGS!$A$6:$AN$238,23,FALSE)</f>
        <v>0</v>
      </c>
      <c r="S25" s="40">
        <f>VLOOKUP(D25,[1]apoio_Preços_MGS!$A$6:$AN$238,24,FALSE)</f>
        <v>0</v>
      </c>
      <c r="T25" s="40">
        <f>VLOOKUP(D25,[1]apoio_Preços_MGS!$A$6:$AN$238,25,FALSE)</f>
        <v>3.883187386911743</v>
      </c>
      <c r="U25" s="40">
        <f t="shared" si="3"/>
        <v>2799.7781059633667</v>
      </c>
      <c r="V25" s="41">
        <f>VLOOKUP(D25,[1]apoio_Preços_MGS!$A$6:$AN$238,27,FALSE)</f>
        <v>0.81799999999999995</v>
      </c>
      <c r="W25" s="40">
        <f t="shared" si="4"/>
        <v>2290.218490678034</v>
      </c>
      <c r="X25" s="40">
        <f>VLOOKUP(D25,[1]apoio_Preços_MGS!$A$6:$AN$238,29,FALSE)</f>
        <v>30.014545454545452</v>
      </c>
      <c r="Y25" s="40">
        <f>VLOOKUP(D25,[1]apoio_Preços_MGS!$A$6:$AN$238,30,FALSE)</f>
        <v>282.32043012772351</v>
      </c>
      <c r="Z25" s="40">
        <f t="shared" si="5"/>
        <v>312.33497558226895</v>
      </c>
      <c r="AA25" s="40">
        <f>VLOOKUP(D25,[1]apoio_Preços_MGS!$A$6:$AN$238,32,FALSE)</f>
        <v>4.1293217258975332</v>
      </c>
      <c r="AB25" s="40">
        <f>VLOOKUP(D25,[1]apoio_Preços_MGS!$A$6:$AN$238,33,FALSE)</f>
        <v>281.74150413223134</v>
      </c>
      <c r="AC25" s="41">
        <f>VLOOKUP(D25,[1]apoio_Preços_MGS!$A$6:$AN$238,34,FALSE)</f>
        <v>0</v>
      </c>
      <c r="AD25" s="40">
        <f>(U25+W25+Z25+AB25+AA25+VLOOKUP(C25,[1]apoio_Prec_Folha!$A:$S,7,FALSE))*AC25</f>
        <v>0</v>
      </c>
      <c r="AE25" s="42">
        <f>VLOOKUP(D25,[1]apoio_Preços_MGS!$A$6:$AN$238,36,FALSE)</f>
        <v>7.0000000000000007E-2</v>
      </c>
      <c r="AF25" s="40">
        <f>(U25+W25+Z25+AB25+AD25+AA25+VLOOKUP(C25,[1]apoio_Prec_Folha!$A:$S,7,FALSE))*AE25</f>
        <v>436.62898604754412</v>
      </c>
      <c r="AG25" s="40">
        <f t="shared" si="6"/>
        <v>6124.83</v>
      </c>
      <c r="AH25" s="43">
        <f t="shared" si="7"/>
        <v>7142.65</v>
      </c>
      <c r="AI25" s="43">
        <f t="shared" si="8"/>
        <v>14285.3</v>
      </c>
      <c r="AJ25" s="43">
        <f t="shared" si="9"/>
        <v>857118</v>
      </c>
      <c r="AK25" s="44">
        <f>VLOOKUP(D25,[1]apoio_Preços_MGS!$A$6:$AN$238,39,FALSE)</f>
        <v>200.00000000000003</v>
      </c>
      <c r="AL25" s="44">
        <f>IF(J25="demais municípios",VLOOKUP(D25,[1]apoio_Preços_MGS!$A$6:$AN$238,39,FALSE),0)</f>
        <v>200.00000000000003</v>
      </c>
      <c r="AM25" s="44">
        <v>0</v>
      </c>
      <c r="AN25" s="45">
        <f t="shared" si="18"/>
        <v>400.00000000000006</v>
      </c>
      <c r="AO25" s="44">
        <f>VLOOKUP(D25,[1]apoio_Preços_MGS!$A$6:$AN$238,40,FALSE)</f>
        <v>549.35</v>
      </c>
      <c r="AP25" s="44">
        <f>IF(J25="demais municípios",VLOOKUP(D25,[1]apoio_Preços_MGS!$A$6:$AN$238,40,FALSE),0)</f>
        <v>549.35</v>
      </c>
      <c r="AQ25" s="44">
        <v>0</v>
      </c>
      <c r="AR25" s="45">
        <f t="shared" si="19"/>
        <v>1098.7</v>
      </c>
      <c r="AS25" s="45">
        <f t="shared" si="10"/>
        <v>1498.7</v>
      </c>
      <c r="AT25" s="45">
        <f t="shared" si="13"/>
        <v>89922</v>
      </c>
      <c r="AU25" s="62"/>
      <c r="AV25" s="46"/>
      <c r="AW25" s="47"/>
      <c r="AX25" s="48"/>
      <c r="AY25" s="49"/>
      <c r="BA25" s="48"/>
    </row>
    <row r="26" spans="1:53" ht="19.5" customHeight="1" x14ac:dyDescent="0.25">
      <c r="A26" s="33" t="str">
        <f t="shared" si="0"/>
        <v>95133440,05</v>
      </c>
      <c r="B26" s="33" t="str">
        <f t="shared" si="1"/>
        <v>3920,05</v>
      </c>
      <c r="C26" s="34" t="str">
        <f>VLOOKUP(D26,[1]apoio_Preços_MGS!$A$6:$B$238,2,FALSE)</f>
        <v>AGENTE DE SERVIÇO DE PARQUE HABILITADO</v>
      </c>
      <c r="D26" s="35">
        <v>392</v>
      </c>
      <c r="E26" s="33" t="str">
        <f>VLOOKUP(D26,[1]apoio_Preços_MGS!$A$6:$F$238,6,FALSE)</f>
        <v>AGENTE DE SERVIÇO DE PARQUE HABILITADO - (PERIC.) - 12x36 DIURNO - 44H</v>
      </c>
      <c r="F26" s="36">
        <f>IFERROR(VLOOKUP(D26,'[1]apoio_cód catmas'!$B$2:$C$863,2,FALSE),0)</f>
        <v>95133</v>
      </c>
      <c r="G26" s="33" t="str">
        <f>IF(H26="N/A",VLOOKUP(F26&amp;40,'[1]apoio_cód catmas'!$A$1:$G$233,4,FALSE),VLOOKUP(F26&amp;H26,'[1]apoio_cód catmas'!$A$1:$G$233,4,FALSE))</f>
        <v>AGENTE DE SERVICO DE PARQUE HABILITADO - 12X36 DIURNO (PERICULOSIDADE) - 44H</v>
      </c>
      <c r="H26" s="36">
        <v>44</v>
      </c>
      <c r="I26" s="37">
        <v>0.05</v>
      </c>
      <c r="J26" s="38" t="s">
        <v>47</v>
      </c>
      <c r="K26" s="39">
        <v>2</v>
      </c>
      <c r="L26" s="39">
        <f t="shared" si="2"/>
        <v>120</v>
      </c>
      <c r="M26" s="40">
        <f>VLOOKUP(D26,[1]apoio_Preços_MGS!$A$6:$AN$238,18,FALSE)</f>
        <v>2150.6883989049652</v>
      </c>
      <c r="N26" s="40">
        <f>VLOOKUP(D26,[1]apoio_Preços_MGS!$A$6:$AN$238,19,FALSE)</f>
        <v>645.20651967148956</v>
      </c>
      <c r="O26" s="40">
        <f>VLOOKUP(D26,[1]apoio_Preços_MGS!$A$6:$AN$238,20,FALSE)</f>
        <v>0</v>
      </c>
      <c r="P26" s="40">
        <f>VLOOKUP(D26,[1]apoio_Preços_MGS!$A$6:$AN$238,21,FALSE)</f>
        <v>0</v>
      </c>
      <c r="Q26" s="40">
        <f>VLOOKUP(D26,[1]apoio_Preços_MGS!$A$6:$AN$238,22,FALSE)</f>
        <v>0</v>
      </c>
      <c r="R26" s="40">
        <f>VLOOKUP(D26,[1]apoio_Preços_MGS!$A$6:$AN$238,23,FALSE)</f>
        <v>0</v>
      </c>
      <c r="S26" s="40">
        <f>VLOOKUP(D26,[1]apoio_Preços_MGS!$A$6:$AN$238,24,FALSE)</f>
        <v>0</v>
      </c>
      <c r="T26" s="40">
        <f>VLOOKUP(D26,[1]apoio_Preços_MGS!$A$6:$AN$238,25,FALSE)</f>
        <v>3.883187386911743</v>
      </c>
      <c r="U26" s="40">
        <f t="shared" si="3"/>
        <v>2799.7781059633667</v>
      </c>
      <c r="V26" s="41">
        <f>VLOOKUP(D26,[1]apoio_Preços_MGS!$A$6:$AN$238,27,FALSE)</f>
        <v>0.81799999999999995</v>
      </c>
      <c r="W26" s="40">
        <f t="shared" si="4"/>
        <v>2290.218490678034</v>
      </c>
      <c r="X26" s="40">
        <f>VLOOKUP(D26,[1]apoio_Preços_MGS!$A$6:$AN$238,29,FALSE)</f>
        <v>30.014545454545452</v>
      </c>
      <c r="Y26" s="40">
        <f>VLOOKUP(D26,[1]apoio_Preços_MGS!$A$6:$AN$238,30,FALSE)</f>
        <v>282.32043012772351</v>
      </c>
      <c r="Z26" s="40">
        <f t="shared" si="5"/>
        <v>312.33497558226895</v>
      </c>
      <c r="AA26" s="40">
        <f>VLOOKUP(D26,[1]apoio_Preços_MGS!$A$6:$AN$238,32,FALSE)</f>
        <v>4.1293217258975332</v>
      </c>
      <c r="AB26" s="40">
        <f>VLOOKUP(D26,[1]apoio_Preços_MGS!$A$6:$AN$238,33,FALSE)</f>
        <v>281.74150413223134</v>
      </c>
      <c r="AC26" s="41">
        <f>VLOOKUP(D26,[1]apoio_Preços_MGS!$A$6:$AN$238,34,FALSE)</f>
        <v>0</v>
      </c>
      <c r="AD26" s="40">
        <f>(U26+W26+Z26+AB26+AA26+VLOOKUP(C26,[1]apoio_Prec_Folha!$A:$S,7,FALSE))*AC26</f>
        <v>0</v>
      </c>
      <c r="AE26" s="42">
        <f>VLOOKUP(D26,[1]apoio_Preços_MGS!$A$6:$AN$238,36,FALSE)</f>
        <v>7.0000000000000007E-2</v>
      </c>
      <c r="AF26" s="40">
        <f>(U26+W26+Z26+AB26+AD26+AA26+VLOOKUP(C26,[1]apoio_Prec_Folha!$A:$S,7,FALSE))*AE26</f>
        <v>436.62898604754412</v>
      </c>
      <c r="AG26" s="40">
        <f t="shared" si="6"/>
        <v>6124.83</v>
      </c>
      <c r="AH26" s="43">
        <f t="shared" si="7"/>
        <v>7142.65</v>
      </c>
      <c r="AI26" s="43">
        <f t="shared" si="8"/>
        <v>14285.3</v>
      </c>
      <c r="AJ26" s="43">
        <f t="shared" si="9"/>
        <v>857118</v>
      </c>
      <c r="AK26" s="44">
        <f>VLOOKUP(D26,[1]apoio_Preços_MGS!$A$6:$AN$238,39,FALSE)</f>
        <v>200.00000000000003</v>
      </c>
      <c r="AL26" s="44">
        <f>IF(J26="demais municípios",VLOOKUP(D26,[1]apoio_Preços_MGS!$A$6:$AN$238,39,FALSE),0)</f>
        <v>0</v>
      </c>
      <c r="AM26" s="44">
        <f>TRUNC(ROUND(($I26)/(1-($I26)),5)*VLOOKUP(D26,[1]apoio_Preços_MGS!$A$6:$AN$238,39,FALSE)+VLOOKUP(D26,[1]apoio_Preços_MGS!$A$6:$AN$238,39,FALSE),2)</f>
        <v>210.52</v>
      </c>
      <c r="AN26" s="45">
        <f t="shared" si="14"/>
        <v>421.04</v>
      </c>
      <c r="AO26" s="44">
        <f>VLOOKUP(D26,[1]apoio_Preços_MGS!$A$6:$AN$238,40,FALSE)</f>
        <v>549.35</v>
      </c>
      <c r="AP26" s="44">
        <f>IF(J26="demais municípios",VLOOKUP(D26,[1]apoio_Preços_MGS!$A$6:$AN$238,40,FALSE),0)</f>
        <v>0</v>
      </c>
      <c r="AQ26" s="44">
        <f>TRUNC(ROUND(($I26)/(1-($I26)),5)*VLOOKUP(D26,[1]apoio_Preços_MGS!$A$6:$AN$238,40,FALSE)+VLOOKUP(D26,[1]apoio_Preços_MGS!$A$6:$AN$238,40,FALSE),2)</f>
        <v>578.26</v>
      </c>
      <c r="AR26" s="45">
        <f t="shared" si="15"/>
        <v>1156.52</v>
      </c>
      <c r="AS26" s="45">
        <f t="shared" si="10"/>
        <v>1577.56</v>
      </c>
      <c r="AT26" s="45">
        <f t="shared" si="13"/>
        <v>94653.599999999991</v>
      </c>
      <c r="AU26" s="62"/>
      <c r="AV26" s="46"/>
      <c r="AW26" s="47"/>
      <c r="AX26" s="48"/>
      <c r="AY26" s="49"/>
      <c r="BA26" s="48"/>
    </row>
    <row r="27" spans="1:53" ht="19.5" customHeight="1" x14ac:dyDescent="0.25">
      <c r="A27" s="33" t="str">
        <f t="shared" si="0"/>
        <v>95141440,03</v>
      </c>
      <c r="B27" s="33" t="str">
        <f t="shared" si="1"/>
        <v>3930,03</v>
      </c>
      <c r="C27" s="34" t="str">
        <f>VLOOKUP(D27,[1]apoio_Preços_MGS!$A$6:$B$238,2,FALSE)</f>
        <v>AGENTE DE SERVIÇO DE PARQUE HABILITADO</v>
      </c>
      <c r="D27" s="35">
        <v>393</v>
      </c>
      <c r="E27" s="33" t="str">
        <f>VLOOKUP(D27,[1]apoio_Preços_MGS!$A$6:$F$238,6,FALSE)</f>
        <v>AGENTE DE SERVIÇO DE PARQUE HABILITADO - (PERIC.) - 12x36 NOTURNO - 44H</v>
      </c>
      <c r="F27" s="36">
        <f>IFERROR(VLOOKUP(D27,'[1]apoio_cód catmas'!$B$2:$C$863,2,FALSE),0)</f>
        <v>95141</v>
      </c>
      <c r="G27" s="33" t="str">
        <f>IF(H27="N/A",VLOOKUP(F27&amp;40,'[1]apoio_cód catmas'!$A$1:$G$233,4,FALSE),VLOOKUP(F27&amp;H27,'[1]apoio_cód catmas'!$A$1:$G$233,4,FALSE))</f>
        <v>AGENTE DE SERVIÇO DE PARQUE HABILITADO - 12X36 NOTURNO (PERICULOSIDADE) - 44H</v>
      </c>
      <c r="H27" s="36">
        <v>44</v>
      </c>
      <c r="I27" s="37">
        <v>0.03</v>
      </c>
      <c r="J27" s="38" t="s">
        <v>46</v>
      </c>
      <c r="K27" s="39">
        <v>4</v>
      </c>
      <c r="L27" s="39">
        <f t="shared" si="2"/>
        <v>240</v>
      </c>
      <c r="M27" s="40">
        <f>VLOOKUP(D27,[1]apoio_Preços_MGS!$A$6:$AN$238,18,FALSE)</f>
        <v>2150.6883989049652</v>
      </c>
      <c r="N27" s="40">
        <f>VLOOKUP(D27,[1]apoio_Preços_MGS!$A$6:$AN$238,19,FALSE)</f>
        <v>645.20651967148956</v>
      </c>
      <c r="O27" s="40">
        <f>VLOOKUP(D27,[1]apoio_Preços_MGS!$A$6:$AN$238,20,FALSE)</f>
        <v>651.33016508301068</v>
      </c>
      <c r="P27" s="40">
        <f>VLOOKUP(D27,[1]apoio_Preços_MGS!$A$6:$AN$238,21,FALSE)</f>
        <v>14.217537529656875</v>
      </c>
      <c r="Q27" s="40">
        <f>VLOOKUP(D27,[1]apoio_Preços_MGS!$A$6:$AN$238,22,FALSE)</f>
        <v>53.315749741483565</v>
      </c>
      <c r="R27" s="40">
        <f>VLOOKUP(D27,[1]apoio_Preços_MGS!$A$6:$AN$238,23,FALSE)</f>
        <v>0</v>
      </c>
      <c r="S27" s="40">
        <f>VLOOKUP(D27,[1]apoio_Preços_MGS!$A$6:$AN$238,24,FALSE)</f>
        <v>0</v>
      </c>
      <c r="T27" s="40">
        <f>VLOOKUP(D27,[1]apoio_Preços_MGS!$A$6:$AN$238,25,FALSE)</f>
        <v>3.883187386911743</v>
      </c>
      <c r="U27" s="40">
        <f t="shared" si="3"/>
        <v>3518.641558317518</v>
      </c>
      <c r="V27" s="41">
        <f>VLOOKUP(D27,[1]apoio_Preços_MGS!$A$6:$AN$238,27,FALSE)</f>
        <v>0.81799999999999995</v>
      </c>
      <c r="W27" s="40">
        <f t="shared" si="4"/>
        <v>2878.2487947037298</v>
      </c>
      <c r="X27" s="40">
        <f>VLOOKUP(D27,[1]apoio_Preços_MGS!$A$6:$AN$238,29,FALSE)</f>
        <v>30.014545454545452</v>
      </c>
      <c r="Y27" s="40">
        <f>VLOOKUP(D27,[1]apoio_Preços_MGS!$A$6:$AN$238,30,FALSE)</f>
        <v>282.32043012772351</v>
      </c>
      <c r="Z27" s="40">
        <f t="shared" si="5"/>
        <v>312.33497558226895</v>
      </c>
      <c r="AA27" s="40">
        <f>VLOOKUP(D27,[1]apoio_Preços_MGS!$A$6:$AN$238,32,FALSE)</f>
        <v>4.1293217258975332</v>
      </c>
      <c r="AB27" s="40">
        <f>VLOOKUP(D27,[1]apoio_Preços_MGS!$A$6:$AN$238,33,FALSE)</f>
        <v>281.74150413223134</v>
      </c>
      <c r="AC27" s="41">
        <f>VLOOKUP(D27,[1]apoio_Preços_MGS!$A$6:$AN$238,34,FALSE)</f>
        <v>0</v>
      </c>
      <c r="AD27" s="40">
        <f>(U27+W27+Z27+AB27+AA27+VLOOKUP(C27,[1]apoio_Prec_Folha!$A:$S,7,FALSE))*AC27</f>
        <v>0</v>
      </c>
      <c r="AE27" s="42">
        <f>VLOOKUP(D27,[1]apoio_Preços_MGS!$A$6:$AN$238,36,FALSE)</f>
        <v>7.0000000000000007E-2</v>
      </c>
      <c r="AF27" s="40">
        <f>(U27+W27+Z27+AB27+AD27+AA27+VLOOKUP(C27,[1]apoio_Prec_Folha!$A:$S,7,FALSE))*AE27</f>
        <v>528.1115489941335</v>
      </c>
      <c r="AG27" s="40">
        <f t="shared" si="6"/>
        <v>7523.2</v>
      </c>
      <c r="AH27" s="43">
        <f t="shared" si="7"/>
        <v>8573.43</v>
      </c>
      <c r="AI27" s="43">
        <f t="shared" si="8"/>
        <v>34293.72</v>
      </c>
      <c r="AJ27" s="43">
        <f t="shared" si="9"/>
        <v>2057623.2000000002</v>
      </c>
      <c r="AK27" s="44">
        <f>VLOOKUP(D27,[1]apoio_Preços_MGS!$A$6:$AN$238,39,FALSE)</f>
        <v>200.00000000000003</v>
      </c>
      <c r="AL27" s="44">
        <f>IF(J27="demais municípios",VLOOKUP(D27,[1]apoio_Preços_MGS!$A$6:$AN$238,39,FALSE),0)</f>
        <v>200.00000000000003</v>
      </c>
      <c r="AM27" s="44">
        <v>0</v>
      </c>
      <c r="AN27" s="45">
        <f t="shared" ref="AN27:AN36" si="20">AK27*K27</f>
        <v>800.00000000000011</v>
      </c>
      <c r="AO27" s="44">
        <f>VLOOKUP(D27,[1]apoio_Preços_MGS!$A$6:$AN$238,40,FALSE)</f>
        <v>549.35</v>
      </c>
      <c r="AP27" s="44">
        <f>IF(J27="demais municípios",VLOOKUP(D27,[1]apoio_Preços_MGS!$A$6:$AN$238,40,FALSE),0)</f>
        <v>549.35</v>
      </c>
      <c r="AQ27" s="44">
        <v>0</v>
      </c>
      <c r="AR27" s="45">
        <f t="shared" ref="AR27:AR36" si="21">AO27*K27</f>
        <v>2197.4</v>
      </c>
      <c r="AS27" s="45">
        <f t="shared" si="10"/>
        <v>2997.4</v>
      </c>
      <c r="AT27" s="45">
        <f t="shared" si="13"/>
        <v>179844</v>
      </c>
      <c r="AU27" s="62"/>
      <c r="AV27" s="46"/>
      <c r="AW27" s="47"/>
      <c r="AX27" s="48"/>
      <c r="AY27" s="49"/>
      <c r="BA27" s="48"/>
    </row>
    <row r="28" spans="1:53" ht="19.5" customHeight="1" x14ac:dyDescent="0.25">
      <c r="A28" s="33" t="str">
        <f t="shared" si="0"/>
        <v>95109440,02</v>
      </c>
      <c r="B28" s="33" t="str">
        <f t="shared" si="1"/>
        <v>3880,02</v>
      </c>
      <c r="C28" s="34" t="str">
        <f>VLOOKUP(D28,[1]apoio_Preços_MGS!$A$6:$B$238,2,FALSE)</f>
        <v>AGENTE DE SERVIÇO DE PARQUE HABILITADO</v>
      </c>
      <c r="D28" s="35">
        <v>388</v>
      </c>
      <c r="E28" s="33" t="str">
        <f>VLOOKUP(D28,[1]apoio_Preços_MGS!$A$6:$F$238,6,FALSE)</f>
        <v>AGENTE DE SERVIÇO DE PARQUE HABILITADO - DIARISTA DIURNO - 44H</v>
      </c>
      <c r="F28" s="36">
        <f>IFERROR(VLOOKUP(D28,'[1]apoio_cód catmas'!$B$2:$C$863,2,FALSE),0)</f>
        <v>95109</v>
      </c>
      <c r="G28" s="33" t="str">
        <f>IF(H28="N/A",VLOOKUP(F28&amp;40,'[1]apoio_cód catmas'!$A$1:$G$233,4,FALSE),VLOOKUP(F28&amp;H28,'[1]apoio_cód catmas'!$A$1:$G$233,4,FALSE))</f>
        <v>AGENTE DE SERVICO DE PARQUE HABILITADO - 44H</v>
      </c>
      <c r="H28" s="36">
        <v>44</v>
      </c>
      <c r="I28" s="37">
        <v>0.02</v>
      </c>
      <c r="J28" s="38" t="s">
        <v>46</v>
      </c>
      <c r="K28" s="39">
        <v>29</v>
      </c>
      <c r="L28" s="39">
        <f t="shared" si="2"/>
        <v>1740</v>
      </c>
      <c r="M28" s="40">
        <f>VLOOKUP(D28,[1]apoio_Preços_MGS!$A$6:$AN$238,18,FALSE)</f>
        <v>2150.6883989049652</v>
      </c>
      <c r="N28" s="40">
        <f>VLOOKUP(D28,[1]apoio_Preços_MGS!$A$6:$AN$238,19,FALSE)</f>
        <v>0</v>
      </c>
      <c r="O28" s="40">
        <f>VLOOKUP(D28,[1]apoio_Preços_MGS!$A$6:$AN$238,20,FALSE)</f>
        <v>0</v>
      </c>
      <c r="P28" s="40">
        <f>VLOOKUP(D28,[1]apoio_Preços_MGS!$A$6:$AN$238,21,FALSE)</f>
        <v>0</v>
      </c>
      <c r="Q28" s="40">
        <f>VLOOKUP(D28,[1]apoio_Preços_MGS!$A$6:$AN$238,22,FALSE)</f>
        <v>0</v>
      </c>
      <c r="R28" s="40">
        <f>VLOOKUP(D28,[1]apoio_Preços_MGS!$A$6:$AN$238,23,FALSE)</f>
        <v>0</v>
      </c>
      <c r="S28" s="40">
        <f>VLOOKUP(D28,[1]apoio_Preços_MGS!$A$6:$AN$238,24,FALSE)</f>
        <v>0</v>
      </c>
      <c r="T28" s="40">
        <f>VLOOKUP(D28,[1]apoio_Preços_MGS!$A$6:$AN$238,25,FALSE)</f>
        <v>0</v>
      </c>
      <c r="U28" s="40">
        <f t="shared" si="3"/>
        <v>2150.6883989049652</v>
      </c>
      <c r="V28" s="41">
        <f>VLOOKUP(D28,[1]apoio_Preços_MGS!$A$6:$AN$238,27,FALSE)</f>
        <v>0.81799999999999995</v>
      </c>
      <c r="W28" s="40">
        <f t="shared" si="4"/>
        <v>1759.2631103042613</v>
      </c>
      <c r="X28" s="40">
        <f>VLOOKUP(D28,[1]apoio_Preços_MGS!$A$6:$AN$238,29,FALSE)</f>
        <v>30.014545454545452</v>
      </c>
      <c r="Y28" s="40">
        <f>VLOOKUP(D28,[1]apoio_Preços_MGS!$A$6:$AN$238,30,FALSE)</f>
        <v>282.32043012772351</v>
      </c>
      <c r="Z28" s="40">
        <f t="shared" si="5"/>
        <v>312.33497558226895</v>
      </c>
      <c r="AA28" s="40">
        <f>VLOOKUP(D28,[1]apoio_Preços_MGS!$A$6:$AN$238,32,FALSE)</f>
        <v>4.1293217258975332</v>
      </c>
      <c r="AB28" s="40">
        <f>VLOOKUP(D28,[1]apoio_Preços_MGS!$A$6:$AN$238,33,FALSE)</f>
        <v>281.74150413223134</v>
      </c>
      <c r="AC28" s="41">
        <f>VLOOKUP(D28,[1]apoio_Preços_MGS!$A$6:$AN$238,34,FALSE)</f>
        <v>0</v>
      </c>
      <c r="AD28" s="40">
        <f>(U28+W28+Z28+AB28+AA28+VLOOKUP(C28,[1]apoio_Prec_Folha!$A:$S,7,FALSE))*AC28</f>
        <v>0</v>
      </c>
      <c r="AE28" s="42">
        <f>VLOOKUP(D28,[1]apoio_Preços_MGS!$A$6:$AN$238,36,FALSE)</f>
        <v>7.0000000000000007E-2</v>
      </c>
      <c r="AF28" s="40">
        <f>(U28+W28+Z28+AB28+AD28+AA28+VLOOKUP(C28,[1]apoio_Prec_Folha!$A:$S,7,FALSE))*AE28</f>
        <v>354.02582992729191</v>
      </c>
      <c r="AG28" s="40">
        <f t="shared" si="6"/>
        <v>4862.18</v>
      </c>
      <c r="AH28" s="43">
        <f t="shared" si="7"/>
        <v>5478.5</v>
      </c>
      <c r="AI28" s="43">
        <f t="shared" si="8"/>
        <v>158876.5</v>
      </c>
      <c r="AJ28" s="43">
        <f t="shared" si="9"/>
        <v>9532590</v>
      </c>
      <c r="AK28" s="44">
        <f>VLOOKUP(D28,[1]apoio_Preços_MGS!$A$6:$AN$238,39,FALSE)</f>
        <v>200.00000000000003</v>
      </c>
      <c r="AL28" s="44">
        <f>IF(J28="demais municípios",VLOOKUP(D28,[1]apoio_Preços_MGS!$A$6:$AN$238,39,FALSE),0)</f>
        <v>200.00000000000003</v>
      </c>
      <c r="AM28" s="44">
        <v>0</v>
      </c>
      <c r="AN28" s="45">
        <f t="shared" si="20"/>
        <v>5800.0000000000009</v>
      </c>
      <c r="AO28" s="44">
        <f>VLOOKUP(D28,[1]apoio_Preços_MGS!$A$6:$AN$238,40,FALSE)</f>
        <v>549.35</v>
      </c>
      <c r="AP28" s="44">
        <f>IF(J28="demais municípios",VLOOKUP(D28,[1]apoio_Preços_MGS!$A$6:$AN$238,40,FALSE),0)</f>
        <v>549.35</v>
      </c>
      <c r="AQ28" s="44">
        <v>0</v>
      </c>
      <c r="AR28" s="45">
        <f t="shared" si="21"/>
        <v>15931.150000000001</v>
      </c>
      <c r="AS28" s="45">
        <f t="shared" si="10"/>
        <v>21731.15</v>
      </c>
      <c r="AT28" s="45">
        <f t="shared" si="13"/>
        <v>1303869</v>
      </c>
      <c r="AU28" s="62"/>
      <c r="AV28" s="46"/>
      <c r="AW28" s="47"/>
      <c r="AX28" s="48"/>
      <c r="AY28" s="49"/>
      <c r="BA28" s="48"/>
    </row>
    <row r="29" spans="1:53" ht="19.5" customHeight="1" x14ac:dyDescent="0.25">
      <c r="A29" s="33" t="str">
        <f t="shared" si="0"/>
        <v>95109440,025</v>
      </c>
      <c r="B29" s="33" t="str">
        <f t="shared" si="1"/>
        <v>3880,025</v>
      </c>
      <c r="C29" s="34" t="str">
        <f>VLOOKUP(D29,[1]apoio_Preços_MGS!$A$6:$B$238,2,FALSE)</f>
        <v>AGENTE DE SERVIÇO DE PARQUE HABILITADO</v>
      </c>
      <c r="D29" s="35">
        <v>388</v>
      </c>
      <c r="E29" s="33" t="str">
        <f>VLOOKUP(D29,[1]apoio_Preços_MGS!$A$6:$F$238,6,FALSE)</f>
        <v>AGENTE DE SERVIÇO DE PARQUE HABILITADO - DIARISTA DIURNO - 44H</v>
      </c>
      <c r="F29" s="36">
        <f>IFERROR(VLOOKUP(D29,'[1]apoio_cód catmas'!$B$2:$C$863,2,FALSE),0)</f>
        <v>95109</v>
      </c>
      <c r="G29" s="33" t="str">
        <f>IF(H29="N/A",VLOOKUP(F29&amp;40,'[1]apoio_cód catmas'!$A$1:$G$233,4,FALSE),VLOOKUP(F29&amp;H29,'[1]apoio_cód catmas'!$A$1:$G$233,4,FALSE))</f>
        <v>AGENTE DE SERVICO DE PARQUE HABILITADO - 44H</v>
      </c>
      <c r="H29" s="36">
        <v>44</v>
      </c>
      <c r="I29" s="37">
        <v>2.5000000000000001E-2</v>
      </c>
      <c r="J29" s="38" t="s">
        <v>46</v>
      </c>
      <c r="K29" s="39">
        <v>4</v>
      </c>
      <c r="L29" s="39">
        <f t="shared" si="2"/>
        <v>240</v>
      </c>
      <c r="M29" s="40">
        <f>VLOOKUP(D29,[1]apoio_Preços_MGS!$A$6:$AN$238,18,FALSE)</f>
        <v>2150.6883989049652</v>
      </c>
      <c r="N29" s="40">
        <f>VLOOKUP(D29,[1]apoio_Preços_MGS!$A$6:$AN$238,19,FALSE)</f>
        <v>0</v>
      </c>
      <c r="O29" s="40">
        <f>VLOOKUP(D29,[1]apoio_Preços_MGS!$A$6:$AN$238,20,FALSE)</f>
        <v>0</v>
      </c>
      <c r="P29" s="40">
        <f>VLOOKUP(D29,[1]apoio_Preços_MGS!$A$6:$AN$238,21,FALSE)</f>
        <v>0</v>
      </c>
      <c r="Q29" s="40">
        <f>VLOOKUP(D29,[1]apoio_Preços_MGS!$A$6:$AN$238,22,FALSE)</f>
        <v>0</v>
      </c>
      <c r="R29" s="40">
        <f>VLOOKUP(D29,[1]apoio_Preços_MGS!$A$6:$AN$238,23,FALSE)</f>
        <v>0</v>
      </c>
      <c r="S29" s="40">
        <f>VLOOKUP(D29,[1]apoio_Preços_MGS!$A$6:$AN$238,24,FALSE)</f>
        <v>0</v>
      </c>
      <c r="T29" s="40">
        <f>VLOOKUP(D29,[1]apoio_Preços_MGS!$A$6:$AN$238,25,FALSE)</f>
        <v>0</v>
      </c>
      <c r="U29" s="40">
        <f t="shared" si="3"/>
        <v>2150.6883989049652</v>
      </c>
      <c r="V29" s="41">
        <f>VLOOKUP(D29,[1]apoio_Preços_MGS!$A$6:$AN$238,27,FALSE)</f>
        <v>0.81799999999999995</v>
      </c>
      <c r="W29" s="40">
        <f t="shared" si="4"/>
        <v>1759.2631103042613</v>
      </c>
      <c r="X29" s="40">
        <f>VLOOKUP(D29,[1]apoio_Preços_MGS!$A$6:$AN$238,29,FALSE)</f>
        <v>30.014545454545452</v>
      </c>
      <c r="Y29" s="40">
        <f>VLOOKUP(D29,[1]apoio_Preços_MGS!$A$6:$AN$238,30,FALSE)</f>
        <v>282.32043012772351</v>
      </c>
      <c r="Z29" s="40">
        <f t="shared" si="5"/>
        <v>312.33497558226895</v>
      </c>
      <c r="AA29" s="40">
        <f>VLOOKUP(D29,[1]apoio_Preços_MGS!$A$6:$AN$238,32,FALSE)</f>
        <v>4.1293217258975332</v>
      </c>
      <c r="AB29" s="40">
        <f>VLOOKUP(D29,[1]apoio_Preços_MGS!$A$6:$AN$238,33,FALSE)</f>
        <v>281.74150413223134</v>
      </c>
      <c r="AC29" s="41">
        <f>VLOOKUP(D29,[1]apoio_Preços_MGS!$A$6:$AN$238,34,FALSE)</f>
        <v>0</v>
      </c>
      <c r="AD29" s="40">
        <f>(U29+W29+Z29+AB29+AA29+VLOOKUP(C29,[1]apoio_Prec_Folha!$A:$S,7,FALSE))*AC29</f>
        <v>0</v>
      </c>
      <c r="AE29" s="42">
        <f>VLOOKUP(D29,[1]apoio_Preços_MGS!$A$6:$AN$238,36,FALSE)</f>
        <v>7.0000000000000007E-2</v>
      </c>
      <c r="AF29" s="40">
        <f>(U29+W29+Z29+AB29+AD29+AA29+VLOOKUP(C29,[1]apoio_Prec_Folha!$A:$S,7,FALSE))*AE29</f>
        <v>354.02582992729191</v>
      </c>
      <c r="AG29" s="40">
        <f t="shared" si="6"/>
        <v>4862.18</v>
      </c>
      <c r="AH29" s="43">
        <f t="shared" si="7"/>
        <v>5509.53</v>
      </c>
      <c r="AI29" s="43">
        <f t="shared" si="8"/>
        <v>22038.12</v>
      </c>
      <c r="AJ29" s="43">
        <f t="shared" si="9"/>
        <v>1322287.2</v>
      </c>
      <c r="AK29" s="44">
        <f>VLOOKUP(D29,[1]apoio_Preços_MGS!$A$6:$AN$238,39,FALSE)</f>
        <v>200.00000000000003</v>
      </c>
      <c r="AL29" s="44">
        <f>IF(J29="demais municípios",VLOOKUP(D29,[1]apoio_Preços_MGS!$A$6:$AN$238,39,FALSE),0)</f>
        <v>200.00000000000003</v>
      </c>
      <c r="AM29" s="44">
        <v>0</v>
      </c>
      <c r="AN29" s="45">
        <f t="shared" si="20"/>
        <v>800.00000000000011</v>
      </c>
      <c r="AO29" s="44">
        <f>VLOOKUP(D29,[1]apoio_Preços_MGS!$A$6:$AN$238,40,FALSE)</f>
        <v>549.35</v>
      </c>
      <c r="AP29" s="44">
        <f>IF(J29="demais municípios",VLOOKUP(D29,[1]apoio_Preços_MGS!$A$6:$AN$238,40,FALSE),0)</f>
        <v>549.35</v>
      </c>
      <c r="AQ29" s="44">
        <v>0</v>
      </c>
      <c r="AR29" s="45">
        <f t="shared" si="21"/>
        <v>2197.4</v>
      </c>
      <c r="AS29" s="45">
        <f t="shared" si="10"/>
        <v>2997.4</v>
      </c>
      <c r="AT29" s="45">
        <f t="shared" si="13"/>
        <v>179844</v>
      </c>
      <c r="AU29" s="62"/>
      <c r="AV29" s="46"/>
      <c r="AW29" s="47"/>
      <c r="AX29" s="48"/>
      <c r="AY29" s="49"/>
      <c r="BA29" s="48"/>
    </row>
    <row r="30" spans="1:53" ht="19.5" customHeight="1" x14ac:dyDescent="0.25">
      <c r="A30" s="33" t="str">
        <f t="shared" si="0"/>
        <v>95109440,027</v>
      </c>
      <c r="B30" s="33" t="str">
        <f t="shared" si="1"/>
        <v>3880,027</v>
      </c>
      <c r="C30" s="34" t="str">
        <f>VLOOKUP(D30,[1]apoio_Preços_MGS!$A$6:$B$238,2,FALSE)</f>
        <v>AGENTE DE SERVIÇO DE PARQUE HABILITADO</v>
      </c>
      <c r="D30" s="35">
        <v>388</v>
      </c>
      <c r="E30" s="33" t="str">
        <f>VLOOKUP(D30,[1]apoio_Preços_MGS!$A$6:$F$238,6,FALSE)</f>
        <v>AGENTE DE SERVIÇO DE PARQUE HABILITADO - DIARISTA DIURNO - 44H</v>
      </c>
      <c r="F30" s="36">
        <f>IFERROR(VLOOKUP(D30,'[1]apoio_cód catmas'!$B$2:$C$863,2,FALSE),0)</f>
        <v>95109</v>
      </c>
      <c r="G30" s="33" t="str">
        <f>IF(H30="N/A",VLOOKUP(F30&amp;40,'[1]apoio_cód catmas'!$A$1:$G$233,4,FALSE),VLOOKUP(F30&amp;H30,'[1]apoio_cód catmas'!$A$1:$G$233,4,FALSE))</f>
        <v>AGENTE DE SERVICO DE PARQUE HABILITADO - 44H</v>
      </c>
      <c r="H30" s="36">
        <v>44</v>
      </c>
      <c r="I30" s="37">
        <v>2.7000000000000003E-2</v>
      </c>
      <c r="J30" s="38" t="s">
        <v>46</v>
      </c>
      <c r="K30" s="39">
        <v>7</v>
      </c>
      <c r="L30" s="39">
        <f t="shared" si="2"/>
        <v>420</v>
      </c>
      <c r="M30" s="40">
        <f>VLOOKUP(D30,[1]apoio_Preços_MGS!$A$6:$AN$238,18,FALSE)</f>
        <v>2150.6883989049652</v>
      </c>
      <c r="N30" s="40">
        <f>VLOOKUP(D30,[1]apoio_Preços_MGS!$A$6:$AN$238,19,FALSE)</f>
        <v>0</v>
      </c>
      <c r="O30" s="40">
        <f>VLOOKUP(D30,[1]apoio_Preços_MGS!$A$6:$AN$238,20,FALSE)</f>
        <v>0</v>
      </c>
      <c r="P30" s="40">
        <f>VLOOKUP(D30,[1]apoio_Preços_MGS!$A$6:$AN$238,21,FALSE)</f>
        <v>0</v>
      </c>
      <c r="Q30" s="40">
        <f>VLOOKUP(D30,[1]apoio_Preços_MGS!$A$6:$AN$238,22,FALSE)</f>
        <v>0</v>
      </c>
      <c r="R30" s="40">
        <f>VLOOKUP(D30,[1]apoio_Preços_MGS!$A$6:$AN$238,23,FALSE)</f>
        <v>0</v>
      </c>
      <c r="S30" s="40">
        <f>VLOOKUP(D30,[1]apoio_Preços_MGS!$A$6:$AN$238,24,FALSE)</f>
        <v>0</v>
      </c>
      <c r="T30" s="40">
        <f>VLOOKUP(D30,[1]apoio_Preços_MGS!$A$6:$AN$238,25,FALSE)</f>
        <v>0</v>
      </c>
      <c r="U30" s="40">
        <f t="shared" si="3"/>
        <v>2150.6883989049652</v>
      </c>
      <c r="V30" s="41">
        <f>VLOOKUP(D30,[1]apoio_Preços_MGS!$A$6:$AN$238,27,FALSE)</f>
        <v>0.81799999999999995</v>
      </c>
      <c r="W30" s="40">
        <f t="shared" si="4"/>
        <v>1759.2631103042613</v>
      </c>
      <c r="X30" s="40">
        <f>VLOOKUP(D30,[1]apoio_Preços_MGS!$A$6:$AN$238,29,FALSE)</f>
        <v>30.014545454545452</v>
      </c>
      <c r="Y30" s="40">
        <f>VLOOKUP(D30,[1]apoio_Preços_MGS!$A$6:$AN$238,30,FALSE)</f>
        <v>282.32043012772351</v>
      </c>
      <c r="Z30" s="40">
        <f t="shared" si="5"/>
        <v>312.33497558226895</v>
      </c>
      <c r="AA30" s="40">
        <f>VLOOKUP(D30,[1]apoio_Preços_MGS!$A$6:$AN$238,32,FALSE)</f>
        <v>4.1293217258975332</v>
      </c>
      <c r="AB30" s="40">
        <f>VLOOKUP(D30,[1]apoio_Preços_MGS!$A$6:$AN$238,33,FALSE)</f>
        <v>281.74150413223134</v>
      </c>
      <c r="AC30" s="41">
        <f>VLOOKUP(D30,[1]apoio_Preços_MGS!$A$6:$AN$238,34,FALSE)</f>
        <v>0</v>
      </c>
      <c r="AD30" s="40">
        <f>(U30+W30+Z30+AB30+AA30+VLOOKUP(C30,[1]apoio_Prec_Folha!$A:$S,7,FALSE))*AC30</f>
        <v>0</v>
      </c>
      <c r="AE30" s="42">
        <f>VLOOKUP(D30,[1]apoio_Preços_MGS!$A$6:$AN$238,36,FALSE)</f>
        <v>7.0000000000000007E-2</v>
      </c>
      <c r="AF30" s="40">
        <f>(U30+W30+Z30+AB30+AD30+AA30+VLOOKUP(C30,[1]apoio_Prec_Folha!$A:$S,7,FALSE))*AE30</f>
        <v>354.02582992729191</v>
      </c>
      <c r="AG30" s="40">
        <f t="shared" si="6"/>
        <v>4862.18</v>
      </c>
      <c r="AH30" s="43">
        <f t="shared" si="7"/>
        <v>5522.07</v>
      </c>
      <c r="AI30" s="43">
        <f t="shared" si="8"/>
        <v>38654.49</v>
      </c>
      <c r="AJ30" s="43">
        <f t="shared" si="9"/>
        <v>2319269.4</v>
      </c>
      <c r="AK30" s="44">
        <f>VLOOKUP(D30,[1]apoio_Preços_MGS!$A$6:$AN$238,39,FALSE)</f>
        <v>200.00000000000003</v>
      </c>
      <c r="AL30" s="44">
        <f>IF(J30="demais municípios",VLOOKUP(D30,[1]apoio_Preços_MGS!$A$6:$AN$238,39,FALSE),0)</f>
        <v>200.00000000000003</v>
      </c>
      <c r="AM30" s="44">
        <v>0</v>
      </c>
      <c r="AN30" s="45">
        <f t="shared" si="20"/>
        <v>1400.0000000000002</v>
      </c>
      <c r="AO30" s="44">
        <f>VLOOKUP(D30,[1]apoio_Preços_MGS!$A$6:$AN$238,40,FALSE)</f>
        <v>549.35</v>
      </c>
      <c r="AP30" s="44">
        <f>IF(J30="demais municípios",VLOOKUP(D30,[1]apoio_Preços_MGS!$A$6:$AN$238,40,FALSE),0)</f>
        <v>549.35</v>
      </c>
      <c r="AQ30" s="44">
        <v>0</v>
      </c>
      <c r="AR30" s="45">
        <f t="shared" si="21"/>
        <v>3845.4500000000003</v>
      </c>
      <c r="AS30" s="45">
        <f t="shared" si="10"/>
        <v>5245.4500000000007</v>
      </c>
      <c r="AT30" s="45">
        <f t="shared" si="13"/>
        <v>314727.00000000006</v>
      </c>
      <c r="AU30" s="62"/>
      <c r="AV30" s="46"/>
      <c r="AW30" s="47"/>
      <c r="AX30" s="48"/>
      <c r="AY30" s="49"/>
      <c r="BA30" s="48"/>
    </row>
    <row r="31" spans="1:53" ht="19.5" customHeight="1" x14ac:dyDescent="0.25">
      <c r="A31" s="33" t="str">
        <f t="shared" si="0"/>
        <v>95109440,03</v>
      </c>
      <c r="B31" s="33" t="str">
        <f t="shared" si="1"/>
        <v>3880,03</v>
      </c>
      <c r="C31" s="34" t="str">
        <f>VLOOKUP(D31,[1]apoio_Preços_MGS!$A$6:$B$238,2,FALSE)</f>
        <v>AGENTE DE SERVIÇO DE PARQUE HABILITADO</v>
      </c>
      <c r="D31" s="35">
        <v>388</v>
      </c>
      <c r="E31" s="33" t="str">
        <f>VLOOKUP(D31,[1]apoio_Preços_MGS!$A$6:$F$238,6,FALSE)</f>
        <v>AGENTE DE SERVIÇO DE PARQUE HABILITADO - DIARISTA DIURNO - 44H</v>
      </c>
      <c r="F31" s="36">
        <f>IFERROR(VLOOKUP(D31,'[1]apoio_cód catmas'!$B$2:$C$863,2,FALSE),0)</f>
        <v>95109</v>
      </c>
      <c r="G31" s="33" t="str">
        <f>IF(H31="N/A",VLOOKUP(F31&amp;40,'[1]apoio_cód catmas'!$A$1:$G$233,4,FALSE),VLOOKUP(F31&amp;H31,'[1]apoio_cód catmas'!$A$1:$G$233,4,FALSE))</f>
        <v>AGENTE DE SERVICO DE PARQUE HABILITADO - 44H</v>
      </c>
      <c r="H31" s="36">
        <v>44</v>
      </c>
      <c r="I31" s="37">
        <v>0.03</v>
      </c>
      <c r="J31" s="38" t="s">
        <v>46</v>
      </c>
      <c r="K31" s="39">
        <f>77-2</f>
        <v>75</v>
      </c>
      <c r="L31" s="39">
        <f t="shared" si="2"/>
        <v>4500</v>
      </c>
      <c r="M31" s="40">
        <f>VLOOKUP(D31,[1]apoio_Preços_MGS!$A$6:$AN$238,18,FALSE)</f>
        <v>2150.6883989049652</v>
      </c>
      <c r="N31" s="40">
        <f>VLOOKUP(D31,[1]apoio_Preços_MGS!$A$6:$AN$238,19,FALSE)</f>
        <v>0</v>
      </c>
      <c r="O31" s="40">
        <f>VLOOKUP(D31,[1]apoio_Preços_MGS!$A$6:$AN$238,20,FALSE)</f>
        <v>0</v>
      </c>
      <c r="P31" s="40">
        <f>VLOOKUP(D31,[1]apoio_Preços_MGS!$A$6:$AN$238,21,FALSE)</f>
        <v>0</v>
      </c>
      <c r="Q31" s="40">
        <f>VLOOKUP(D31,[1]apoio_Preços_MGS!$A$6:$AN$238,22,FALSE)</f>
        <v>0</v>
      </c>
      <c r="R31" s="40">
        <f>VLOOKUP(D31,[1]apoio_Preços_MGS!$A$6:$AN$238,23,FALSE)</f>
        <v>0</v>
      </c>
      <c r="S31" s="40">
        <f>VLOOKUP(D31,[1]apoio_Preços_MGS!$A$6:$AN$238,24,FALSE)</f>
        <v>0</v>
      </c>
      <c r="T31" s="40">
        <f>VLOOKUP(D31,[1]apoio_Preços_MGS!$A$6:$AN$238,25,FALSE)</f>
        <v>0</v>
      </c>
      <c r="U31" s="40">
        <f t="shared" si="3"/>
        <v>2150.6883989049652</v>
      </c>
      <c r="V31" s="41">
        <f>VLOOKUP(D31,[1]apoio_Preços_MGS!$A$6:$AN$238,27,FALSE)</f>
        <v>0.81799999999999995</v>
      </c>
      <c r="W31" s="40">
        <f t="shared" si="4"/>
        <v>1759.2631103042613</v>
      </c>
      <c r="X31" s="40">
        <f>VLOOKUP(D31,[1]apoio_Preços_MGS!$A$6:$AN$238,29,FALSE)</f>
        <v>30.014545454545452</v>
      </c>
      <c r="Y31" s="40">
        <f>VLOOKUP(D31,[1]apoio_Preços_MGS!$A$6:$AN$238,30,FALSE)</f>
        <v>282.32043012772351</v>
      </c>
      <c r="Z31" s="40">
        <f t="shared" si="5"/>
        <v>312.33497558226895</v>
      </c>
      <c r="AA31" s="40">
        <f>VLOOKUP(D31,[1]apoio_Preços_MGS!$A$6:$AN$238,32,FALSE)</f>
        <v>4.1293217258975332</v>
      </c>
      <c r="AB31" s="40">
        <f>VLOOKUP(D31,[1]apoio_Preços_MGS!$A$6:$AN$238,33,FALSE)</f>
        <v>281.74150413223134</v>
      </c>
      <c r="AC31" s="41">
        <f>VLOOKUP(D31,[1]apoio_Preços_MGS!$A$6:$AN$238,34,FALSE)</f>
        <v>0</v>
      </c>
      <c r="AD31" s="40">
        <f>(U31+W31+Z31+AB31+AA31+VLOOKUP(C31,[1]apoio_Prec_Folha!$A:$S,7,FALSE))*AC31</f>
        <v>0</v>
      </c>
      <c r="AE31" s="42">
        <f>VLOOKUP(D31,[1]apoio_Preços_MGS!$A$6:$AN$238,36,FALSE)</f>
        <v>7.0000000000000007E-2</v>
      </c>
      <c r="AF31" s="40">
        <f>(U31+W31+Z31+AB31+AD31+AA31+VLOOKUP(C31,[1]apoio_Prec_Folha!$A:$S,7,FALSE))*AE31</f>
        <v>354.02582992729191</v>
      </c>
      <c r="AG31" s="40">
        <f t="shared" si="6"/>
        <v>4862.18</v>
      </c>
      <c r="AH31" s="43">
        <f t="shared" si="7"/>
        <v>5540.94</v>
      </c>
      <c r="AI31" s="43">
        <f t="shared" si="8"/>
        <v>415570.49999999994</v>
      </c>
      <c r="AJ31" s="43">
        <f t="shared" si="9"/>
        <v>24934230</v>
      </c>
      <c r="AK31" s="44">
        <f>VLOOKUP(D31,[1]apoio_Preços_MGS!$A$6:$AN$238,39,FALSE)</f>
        <v>200.00000000000003</v>
      </c>
      <c r="AL31" s="44">
        <f>IF(J31="demais municípios",VLOOKUP(D31,[1]apoio_Preços_MGS!$A$6:$AN$238,39,FALSE),0)</f>
        <v>200.00000000000003</v>
      </c>
      <c r="AM31" s="44">
        <v>0</v>
      </c>
      <c r="AN31" s="45">
        <f t="shared" si="20"/>
        <v>15000.000000000002</v>
      </c>
      <c r="AO31" s="44">
        <f>VLOOKUP(D31,[1]apoio_Preços_MGS!$A$6:$AN$238,40,FALSE)</f>
        <v>549.35</v>
      </c>
      <c r="AP31" s="44">
        <f>IF(J31="demais municípios",VLOOKUP(D31,[1]apoio_Preços_MGS!$A$6:$AN$238,40,FALSE),0)</f>
        <v>549.35</v>
      </c>
      <c r="AQ31" s="44">
        <v>0</v>
      </c>
      <c r="AR31" s="45">
        <f t="shared" si="21"/>
        <v>41201.25</v>
      </c>
      <c r="AS31" s="45">
        <f t="shared" si="10"/>
        <v>56201.25</v>
      </c>
      <c r="AT31" s="45">
        <f t="shared" si="13"/>
        <v>3372075</v>
      </c>
      <c r="AU31" s="62"/>
      <c r="AV31" s="46"/>
      <c r="AW31" s="47"/>
      <c r="AX31" s="48"/>
      <c r="AY31" s="49"/>
      <c r="BA31" s="48"/>
    </row>
    <row r="32" spans="1:53" ht="19.5" customHeight="1" x14ac:dyDescent="0.25">
      <c r="A32" s="33" t="str">
        <f t="shared" si="0"/>
        <v>95109440,035</v>
      </c>
      <c r="B32" s="33" t="str">
        <f t="shared" si="1"/>
        <v>3880,035</v>
      </c>
      <c r="C32" s="34" t="str">
        <f>VLOOKUP(D32,[1]apoio_Preços_MGS!$A$6:$B$238,2,FALSE)</f>
        <v>AGENTE DE SERVIÇO DE PARQUE HABILITADO</v>
      </c>
      <c r="D32" s="35">
        <v>388</v>
      </c>
      <c r="E32" s="33" t="str">
        <f>VLOOKUP(D32,[1]apoio_Preços_MGS!$A$6:$F$238,6,FALSE)</f>
        <v>AGENTE DE SERVIÇO DE PARQUE HABILITADO - DIARISTA DIURNO - 44H</v>
      </c>
      <c r="F32" s="36">
        <f>IFERROR(VLOOKUP(D32,'[1]apoio_cód catmas'!$B$2:$C$863,2,FALSE),0)</f>
        <v>95109</v>
      </c>
      <c r="G32" s="33" t="str">
        <f>IF(H32="N/A",VLOOKUP(F32&amp;40,'[1]apoio_cód catmas'!$A$1:$G$233,4,FALSE),VLOOKUP(F32&amp;H32,'[1]apoio_cód catmas'!$A$1:$G$233,4,FALSE))</f>
        <v>AGENTE DE SERVICO DE PARQUE HABILITADO - 44H</v>
      </c>
      <c r="H32" s="36">
        <v>44</v>
      </c>
      <c r="I32" s="37">
        <v>3.5000000000000003E-2</v>
      </c>
      <c r="J32" s="38" t="s">
        <v>46</v>
      </c>
      <c r="K32" s="39">
        <v>6</v>
      </c>
      <c r="L32" s="39">
        <f t="shared" si="2"/>
        <v>360</v>
      </c>
      <c r="M32" s="40">
        <f>VLOOKUP(D32,[1]apoio_Preços_MGS!$A$6:$AN$238,18,FALSE)</f>
        <v>2150.6883989049652</v>
      </c>
      <c r="N32" s="40">
        <f>VLOOKUP(D32,[1]apoio_Preços_MGS!$A$6:$AN$238,19,FALSE)</f>
        <v>0</v>
      </c>
      <c r="O32" s="40">
        <f>VLOOKUP(D32,[1]apoio_Preços_MGS!$A$6:$AN$238,20,FALSE)</f>
        <v>0</v>
      </c>
      <c r="P32" s="40">
        <f>VLOOKUP(D32,[1]apoio_Preços_MGS!$A$6:$AN$238,21,FALSE)</f>
        <v>0</v>
      </c>
      <c r="Q32" s="40">
        <f>VLOOKUP(D32,[1]apoio_Preços_MGS!$A$6:$AN$238,22,FALSE)</f>
        <v>0</v>
      </c>
      <c r="R32" s="40">
        <f>VLOOKUP(D32,[1]apoio_Preços_MGS!$A$6:$AN$238,23,FALSE)</f>
        <v>0</v>
      </c>
      <c r="S32" s="40">
        <f>VLOOKUP(D32,[1]apoio_Preços_MGS!$A$6:$AN$238,24,FALSE)</f>
        <v>0</v>
      </c>
      <c r="T32" s="40">
        <f>VLOOKUP(D32,[1]apoio_Preços_MGS!$A$6:$AN$238,25,FALSE)</f>
        <v>0</v>
      </c>
      <c r="U32" s="40">
        <f t="shared" si="3"/>
        <v>2150.6883989049652</v>
      </c>
      <c r="V32" s="41">
        <f>VLOOKUP(D32,[1]apoio_Preços_MGS!$A$6:$AN$238,27,FALSE)</f>
        <v>0.81799999999999995</v>
      </c>
      <c r="W32" s="40">
        <f t="shared" si="4"/>
        <v>1759.2631103042613</v>
      </c>
      <c r="X32" s="40">
        <f>VLOOKUP(D32,[1]apoio_Preços_MGS!$A$6:$AN$238,29,FALSE)</f>
        <v>30.014545454545452</v>
      </c>
      <c r="Y32" s="40">
        <f>VLOOKUP(D32,[1]apoio_Preços_MGS!$A$6:$AN$238,30,FALSE)</f>
        <v>282.32043012772351</v>
      </c>
      <c r="Z32" s="40">
        <f t="shared" si="5"/>
        <v>312.33497558226895</v>
      </c>
      <c r="AA32" s="40">
        <f>VLOOKUP(D32,[1]apoio_Preços_MGS!$A$6:$AN$238,32,FALSE)</f>
        <v>4.1293217258975332</v>
      </c>
      <c r="AB32" s="40">
        <f>VLOOKUP(D32,[1]apoio_Preços_MGS!$A$6:$AN$238,33,FALSE)</f>
        <v>281.74150413223134</v>
      </c>
      <c r="AC32" s="41">
        <f>VLOOKUP(D32,[1]apoio_Preços_MGS!$A$6:$AN$238,34,FALSE)</f>
        <v>0</v>
      </c>
      <c r="AD32" s="40">
        <f>(U32+W32+Z32+AB32+AA32+VLOOKUP(C32,[1]apoio_Prec_Folha!$A:$S,7,FALSE))*AC32</f>
        <v>0</v>
      </c>
      <c r="AE32" s="42">
        <f>VLOOKUP(D32,[1]apoio_Preços_MGS!$A$6:$AN$238,36,FALSE)</f>
        <v>7.0000000000000007E-2</v>
      </c>
      <c r="AF32" s="40">
        <f>(U32+W32+Z32+AB32+AD32+AA32+VLOOKUP(C32,[1]apoio_Prec_Folha!$A:$S,7,FALSE))*AE32</f>
        <v>354.02582992729191</v>
      </c>
      <c r="AG32" s="40">
        <f t="shared" si="6"/>
        <v>4862.18</v>
      </c>
      <c r="AH32" s="43">
        <f t="shared" si="7"/>
        <v>5572.69</v>
      </c>
      <c r="AI32" s="43">
        <f t="shared" si="8"/>
        <v>33436.14</v>
      </c>
      <c r="AJ32" s="43">
        <f t="shared" si="9"/>
        <v>2006168.4</v>
      </c>
      <c r="AK32" s="44">
        <f>VLOOKUP(D32,[1]apoio_Preços_MGS!$A$6:$AN$238,39,FALSE)</f>
        <v>200.00000000000003</v>
      </c>
      <c r="AL32" s="44">
        <f>IF(J32="demais municípios",VLOOKUP(D32,[1]apoio_Preços_MGS!$A$6:$AN$238,39,FALSE),0)</f>
        <v>200.00000000000003</v>
      </c>
      <c r="AM32" s="44">
        <v>0</v>
      </c>
      <c r="AN32" s="45">
        <f t="shared" si="20"/>
        <v>1200.0000000000002</v>
      </c>
      <c r="AO32" s="44">
        <f>VLOOKUP(D32,[1]apoio_Preços_MGS!$A$6:$AN$238,40,FALSE)</f>
        <v>549.35</v>
      </c>
      <c r="AP32" s="44">
        <f>IF(J32="demais municípios",VLOOKUP(D32,[1]apoio_Preços_MGS!$A$6:$AN$238,40,FALSE),0)</f>
        <v>549.35</v>
      </c>
      <c r="AQ32" s="44">
        <v>0</v>
      </c>
      <c r="AR32" s="45">
        <f t="shared" si="21"/>
        <v>3296.1000000000004</v>
      </c>
      <c r="AS32" s="45">
        <f t="shared" si="10"/>
        <v>4496.1000000000004</v>
      </c>
      <c r="AT32" s="45">
        <f t="shared" si="13"/>
        <v>269766</v>
      </c>
      <c r="AU32" s="62"/>
      <c r="AV32" s="46"/>
      <c r="AW32" s="47"/>
      <c r="AX32" s="48"/>
      <c r="AY32" s="49"/>
      <c r="BA32" s="48"/>
    </row>
    <row r="33" spans="1:53" ht="19.5" customHeight="1" x14ac:dyDescent="0.25">
      <c r="A33" s="33" t="str">
        <f t="shared" si="0"/>
        <v>95109440,04</v>
      </c>
      <c r="B33" s="33" t="str">
        <f t="shared" si="1"/>
        <v>3880,04</v>
      </c>
      <c r="C33" s="34" t="str">
        <f>VLOOKUP(D33,[1]apoio_Preços_MGS!$A$6:$B$238,2,FALSE)</f>
        <v>AGENTE DE SERVIÇO DE PARQUE HABILITADO</v>
      </c>
      <c r="D33" s="35">
        <v>388</v>
      </c>
      <c r="E33" s="33" t="str">
        <f>VLOOKUP(D33,[1]apoio_Preços_MGS!$A$6:$F$238,6,FALSE)</f>
        <v>AGENTE DE SERVIÇO DE PARQUE HABILITADO - DIARISTA DIURNO - 44H</v>
      </c>
      <c r="F33" s="36">
        <f>IFERROR(VLOOKUP(D33,'[1]apoio_cód catmas'!$B$2:$C$863,2,FALSE),0)</f>
        <v>95109</v>
      </c>
      <c r="G33" s="33" t="str">
        <f>IF(H33="N/A",VLOOKUP(F33&amp;40,'[1]apoio_cód catmas'!$A$1:$G$233,4,FALSE),VLOOKUP(F33&amp;H33,'[1]apoio_cód catmas'!$A$1:$G$233,4,FALSE))</f>
        <v>AGENTE DE SERVICO DE PARQUE HABILITADO - 44H</v>
      </c>
      <c r="H33" s="36">
        <v>44</v>
      </c>
      <c r="I33" s="37">
        <v>0.04</v>
      </c>
      <c r="J33" s="38" t="s">
        <v>46</v>
      </c>
      <c r="K33" s="39">
        <v>19</v>
      </c>
      <c r="L33" s="39">
        <f t="shared" si="2"/>
        <v>1140</v>
      </c>
      <c r="M33" s="40">
        <f>VLOOKUP(D33,[1]apoio_Preços_MGS!$A$6:$AN$238,18,FALSE)</f>
        <v>2150.6883989049652</v>
      </c>
      <c r="N33" s="40">
        <f>VLOOKUP(D33,[1]apoio_Preços_MGS!$A$6:$AN$238,19,FALSE)</f>
        <v>0</v>
      </c>
      <c r="O33" s="40">
        <f>VLOOKUP(D33,[1]apoio_Preços_MGS!$A$6:$AN$238,20,FALSE)</f>
        <v>0</v>
      </c>
      <c r="P33" s="40">
        <f>VLOOKUP(D33,[1]apoio_Preços_MGS!$A$6:$AN$238,21,FALSE)</f>
        <v>0</v>
      </c>
      <c r="Q33" s="40">
        <f>VLOOKUP(D33,[1]apoio_Preços_MGS!$A$6:$AN$238,22,FALSE)</f>
        <v>0</v>
      </c>
      <c r="R33" s="40">
        <f>VLOOKUP(D33,[1]apoio_Preços_MGS!$A$6:$AN$238,23,FALSE)</f>
        <v>0</v>
      </c>
      <c r="S33" s="40">
        <f>VLOOKUP(D33,[1]apoio_Preços_MGS!$A$6:$AN$238,24,FALSE)</f>
        <v>0</v>
      </c>
      <c r="T33" s="40">
        <f>VLOOKUP(D33,[1]apoio_Preços_MGS!$A$6:$AN$238,25,FALSE)</f>
        <v>0</v>
      </c>
      <c r="U33" s="40">
        <f t="shared" si="3"/>
        <v>2150.6883989049652</v>
      </c>
      <c r="V33" s="41">
        <f>VLOOKUP(D33,[1]apoio_Preços_MGS!$A$6:$AN$238,27,FALSE)</f>
        <v>0.81799999999999995</v>
      </c>
      <c r="W33" s="40">
        <f t="shared" si="4"/>
        <v>1759.2631103042613</v>
      </c>
      <c r="X33" s="40">
        <f>VLOOKUP(D33,[1]apoio_Preços_MGS!$A$6:$AN$238,29,FALSE)</f>
        <v>30.014545454545452</v>
      </c>
      <c r="Y33" s="40">
        <f>VLOOKUP(D33,[1]apoio_Preços_MGS!$A$6:$AN$238,30,FALSE)</f>
        <v>282.32043012772351</v>
      </c>
      <c r="Z33" s="40">
        <f t="shared" si="5"/>
        <v>312.33497558226895</v>
      </c>
      <c r="AA33" s="40">
        <f>VLOOKUP(D33,[1]apoio_Preços_MGS!$A$6:$AN$238,32,FALSE)</f>
        <v>4.1293217258975332</v>
      </c>
      <c r="AB33" s="40">
        <f>VLOOKUP(D33,[1]apoio_Preços_MGS!$A$6:$AN$238,33,FALSE)</f>
        <v>281.74150413223134</v>
      </c>
      <c r="AC33" s="41">
        <f>VLOOKUP(D33,[1]apoio_Preços_MGS!$A$6:$AN$238,34,FALSE)</f>
        <v>0</v>
      </c>
      <c r="AD33" s="40">
        <f>(U33+W33+Z33+AB33+AA33+VLOOKUP(C33,[1]apoio_Prec_Folha!$A:$S,7,FALSE))*AC33</f>
        <v>0</v>
      </c>
      <c r="AE33" s="42">
        <f>VLOOKUP(D33,[1]apoio_Preços_MGS!$A$6:$AN$238,36,FALSE)</f>
        <v>7.0000000000000007E-2</v>
      </c>
      <c r="AF33" s="40">
        <f>(U33+W33+Z33+AB33+AD33+AA33+VLOOKUP(C33,[1]apoio_Prec_Folha!$A:$S,7,FALSE))*AE33</f>
        <v>354.02582992729191</v>
      </c>
      <c r="AG33" s="40">
        <f t="shared" si="6"/>
        <v>4862.18</v>
      </c>
      <c r="AH33" s="43">
        <f t="shared" si="7"/>
        <v>5604.82</v>
      </c>
      <c r="AI33" s="43">
        <f t="shared" si="8"/>
        <v>106491.57999999999</v>
      </c>
      <c r="AJ33" s="43">
        <f t="shared" si="9"/>
        <v>6389494.7999999998</v>
      </c>
      <c r="AK33" s="44">
        <f>VLOOKUP(D33,[1]apoio_Preços_MGS!$A$6:$AN$238,39,FALSE)</f>
        <v>200.00000000000003</v>
      </c>
      <c r="AL33" s="44">
        <f>IF(J33="demais municípios",VLOOKUP(D33,[1]apoio_Preços_MGS!$A$6:$AN$238,39,FALSE),0)</f>
        <v>200.00000000000003</v>
      </c>
      <c r="AM33" s="44">
        <v>0</v>
      </c>
      <c r="AN33" s="45">
        <f t="shared" si="20"/>
        <v>3800.0000000000005</v>
      </c>
      <c r="AO33" s="44">
        <f>VLOOKUP(D33,[1]apoio_Preços_MGS!$A$6:$AN$238,40,FALSE)</f>
        <v>549.35</v>
      </c>
      <c r="AP33" s="44">
        <f>IF(J33="demais municípios",VLOOKUP(D33,[1]apoio_Preços_MGS!$A$6:$AN$238,40,FALSE),0)</f>
        <v>549.35</v>
      </c>
      <c r="AQ33" s="44">
        <v>0</v>
      </c>
      <c r="AR33" s="45">
        <f t="shared" si="21"/>
        <v>10437.65</v>
      </c>
      <c r="AS33" s="45">
        <f t="shared" si="10"/>
        <v>14237.65</v>
      </c>
      <c r="AT33" s="45">
        <f t="shared" si="13"/>
        <v>854259</v>
      </c>
      <c r="AU33" s="62"/>
      <c r="AV33" s="46"/>
      <c r="AW33" s="47"/>
      <c r="AX33" s="48"/>
      <c r="AY33" s="49"/>
      <c r="BA33" s="48"/>
    </row>
    <row r="34" spans="1:53" ht="19.5" customHeight="1" x14ac:dyDescent="0.25">
      <c r="A34" s="33" t="str">
        <f t="shared" si="0"/>
        <v>95109440,04</v>
      </c>
      <c r="B34" s="33" t="str">
        <f t="shared" si="1"/>
        <v>3880,04</v>
      </c>
      <c r="C34" s="34" t="str">
        <f>VLOOKUP(D34,[1]apoio_Preços_MGS!$A$6:$B$238,2,FALSE)</f>
        <v>AGENTE DE SERVIÇO DE PARQUE HABILITADO</v>
      </c>
      <c r="D34" s="35">
        <v>388</v>
      </c>
      <c r="E34" s="33" t="str">
        <f>VLOOKUP(D34,[1]apoio_Preços_MGS!$A$6:$F$238,6,FALSE)</f>
        <v>AGENTE DE SERVIÇO DE PARQUE HABILITADO - DIARISTA DIURNO - 44H</v>
      </c>
      <c r="F34" s="36">
        <f>IFERROR(VLOOKUP(D34,'[1]apoio_cód catmas'!$B$2:$C$863,2,FALSE),0)</f>
        <v>95109</v>
      </c>
      <c r="G34" s="33" t="str">
        <f>IF(H34="N/A",VLOOKUP(F34&amp;40,'[1]apoio_cód catmas'!$A$1:$G$233,4,FALSE),VLOOKUP(F34&amp;H34,'[1]apoio_cód catmas'!$A$1:$G$233,4,FALSE))</f>
        <v>AGENTE DE SERVICO DE PARQUE HABILITADO - 44H</v>
      </c>
      <c r="H34" s="36">
        <v>44</v>
      </c>
      <c r="I34" s="37">
        <v>0.04</v>
      </c>
      <c r="J34" s="38" t="s">
        <v>46</v>
      </c>
      <c r="K34" s="39">
        <v>1</v>
      </c>
      <c r="L34" s="39">
        <f>K34*56</f>
        <v>56</v>
      </c>
      <c r="M34" s="40">
        <f>VLOOKUP(D34,[1]apoio_Preços_MGS!$A$6:$AN$238,18,FALSE)</f>
        <v>2150.6883989049652</v>
      </c>
      <c r="N34" s="40">
        <f>VLOOKUP(D34,[1]apoio_Preços_MGS!$A$6:$AN$238,19,FALSE)</f>
        <v>0</v>
      </c>
      <c r="O34" s="40">
        <f>VLOOKUP(D34,[1]apoio_Preços_MGS!$A$6:$AN$238,20,FALSE)</f>
        <v>0</v>
      </c>
      <c r="P34" s="40">
        <f>VLOOKUP(D34,[1]apoio_Preços_MGS!$A$6:$AN$238,21,FALSE)</f>
        <v>0</v>
      </c>
      <c r="Q34" s="40">
        <f>VLOOKUP(D34,[1]apoio_Preços_MGS!$A$6:$AN$238,22,FALSE)</f>
        <v>0</v>
      </c>
      <c r="R34" s="40">
        <f>VLOOKUP(D34,[1]apoio_Preços_MGS!$A$6:$AN$238,23,FALSE)</f>
        <v>0</v>
      </c>
      <c r="S34" s="40">
        <f>VLOOKUP(D34,[1]apoio_Preços_MGS!$A$6:$AN$238,24,FALSE)</f>
        <v>0</v>
      </c>
      <c r="T34" s="40">
        <f>VLOOKUP(D34,[1]apoio_Preços_MGS!$A$6:$AN$238,25,FALSE)</f>
        <v>0</v>
      </c>
      <c r="U34" s="40">
        <f t="shared" si="3"/>
        <v>2150.6883989049652</v>
      </c>
      <c r="V34" s="41">
        <f>VLOOKUP(D34,[1]apoio_Preços_MGS!$A$6:$AN$238,27,FALSE)</f>
        <v>0.81799999999999995</v>
      </c>
      <c r="W34" s="40">
        <f t="shared" si="4"/>
        <v>1759.2631103042613</v>
      </c>
      <c r="X34" s="40">
        <f>VLOOKUP(D34,[1]apoio_Preços_MGS!$A$6:$AN$238,29,FALSE)</f>
        <v>30.014545454545452</v>
      </c>
      <c r="Y34" s="40">
        <f>VLOOKUP(D34,[1]apoio_Preços_MGS!$A$6:$AN$238,30,FALSE)</f>
        <v>282.32043012772351</v>
      </c>
      <c r="Z34" s="40">
        <f t="shared" si="5"/>
        <v>312.33497558226895</v>
      </c>
      <c r="AA34" s="40">
        <f>VLOOKUP(D34,[1]apoio_Preços_MGS!$A$6:$AN$238,32,FALSE)</f>
        <v>4.1293217258975332</v>
      </c>
      <c r="AB34" s="40">
        <f>VLOOKUP(D34,[1]apoio_Preços_MGS!$A$6:$AN$238,33,FALSE)</f>
        <v>281.74150413223134</v>
      </c>
      <c r="AC34" s="41">
        <f>VLOOKUP(D34,[1]apoio_Preços_MGS!$A$6:$AN$238,34,FALSE)</f>
        <v>0</v>
      </c>
      <c r="AD34" s="40">
        <f>(U34+W34+Z34+AB34+AA34+VLOOKUP(C34,[1]apoio_Prec_Folha!$A:$S,7,FALSE))*AC34</f>
        <v>0</v>
      </c>
      <c r="AE34" s="42">
        <f>VLOOKUP(D34,[1]apoio_Preços_MGS!$A$6:$AN$238,36,FALSE)</f>
        <v>7.0000000000000007E-2</v>
      </c>
      <c r="AF34" s="40">
        <f>(U34+W34+Z34+AB34+AD34+AA34+VLOOKUP(C34,[1]apoio_Prec_Folha!$A:$S,7,FALSE))*AE34</f>
        <v>354.02582992729191</v>
      </c>
      <c r="AG34" s="40">
        <f t="shared" si="6"/>
        <v>4862.18</v>
      </c>
      <c r="AH34" s="43">
        <f t="shared" si="7"/>
        <v>5604.82</v>
      </c>
      <c r="AI34" s="43">
        <f t="shared" si="8"/>
        <v>5604.82</v>
      </c>
      <c r="AJ34" s="43">
        <f t="shared" si="9"/>
        <v>313869.92</v>
      </c>
      <c r="AK34" s="44">
        <f>VLOOKUP(D34,[1]apoio_Preços_MGS!$A$6:$AN$238,39,FALSE)</f>
        <v>200.00000000000003</v>
      </c>
      <c r="AL34" s="44">
        <f>IF(J34="demais municípios",VLOOKUP(D34,[1]apoio_Preços_MGS!$A$6:$AN$238,39,FALSE),0)</f>
        <v>200.00000000000003</v>
      </c>
      <c r="AM34" s="44">
        <v>0</v>
      </c>
      <c r="AN34" s="45">
        <f t="shared" si="20"/>
        <v>200.00000000000003</v>
      </c>
      <c r="AO34" s="44">
        <f>VLOOKUP(D34,[1]apoio_Preços_MGS!$A$6:$AN$238,40,FALSE)</f>
        <v>549.35</v>
      </c>
      <c r="AP34" s="44">
        <f>IF(J34="demais municípios",VLOOKUP(D34,[1]apoio_Preços_MGS!$A$6:$AN$238,40,FALSE),0)</f>
        <v>549.35</v>
      </c>
      <c r="AQ34" s="44">
        <v>0</v>
      </c>
      <c r="AR34" s="45">
        <f t="shared" si="21"/>
        <v>549.35</v>
      </c>
      <c r="AS34" s="45">
        <f t="shared" si="10"/>
        <v>749.35</v>
      </c>
      <c r="AT34" s="45">
        <f t="shared" si="13"/>
        <v>44961</v>
      </c>
      <c r="AU34" s="62"/>
      <c r="AV34" s="46"/>
      <c r="AW34" s="47"/>
      <c r="AX34" s="48"/>
      <c r="AY34" s="49"/>
      <c r="BA34" s="48"/>
    </row>
    <row r="35" spans="1:53" ht="19.5" customHeight="1" x14ac:dyDescent="0.25">
      <c r="A35" s="33" t="str">
        <f t="shared" si="0"/>
        <v>95109440,05</v>
      </c>
      <c r="B35" s="33" t="str">
        <f t="shared" si="1"/>
        <v>3880,05</v>
      </c>
      <c r="C35" s="34" t="str">
        <f>VLOOKUP(D35,[1]apoio_Preços_MGS!$A$6:$B$238,2,FALSE)</f>
        <v>AGENTE DE SERVIÇO DE PARQUE HABILITADO</v>
      </c>
      <c r="D35" s="35">
        <v>388</v>
      </c>
      <c r="E35" s="33" t="str">
        <f>VLOOKUP(D35,[1]apoio_Preços_MGS!$A$6:$F$238,6,FALSE)</f>
        <v>AGENTE DE SERVIÇO DE PARQUE HABILITADO - DIARISTA DIURNO - 44H</v>
      </c>
      <c r="F35" s="36">
        <f>IFERROR(VLOOKUP(D35,'[1]apoio_cód catmas'!$B$2:$C$863,2,FALSE),0)</f>
        <v>95109</v>
      </c>
      <c r="G35" s="33" t="str">
        <f>IF(H35="N/A",VLOOKUP(F35&amp;40,'[1]apoio_cód catmas'!$A$1:$G$233,4,FALSE),VLOOKUP(F35&amp;H35,'[1]apoio_cód catmas'!$A$1:$G$233,4,FALSE))</f>
        <v>AGENTE DE SERVICO DE PARQUE HABILITADO - 44H</v>
      </c>
      <c r="H35" s="36">
        <v>44</v>
      </c>
      <c r="I35" s="37">
        <v>0.05</v>
      </c>
      <c r="J35" s="38" t="s">
        <v>46</v>
      </c>
      <c r="K35" s="39">
        <v>2</v>
      </c>
      <c r="L35" s="39">
        <f>K35*56</f>
        <v>112</v>
      </c>
      <c r="M35" s="40">
        <f>VLOOKUP(D35,[1]apoio_Preços_MGS!$A$6:$AN$238,18,FALSE)</f>
        <v>2150.6883989049652</v>
      </c>
      <c r="N35" s="40">
        <f>VLOOKUP(D35,[1]apoio_Preços_MGS!$A$6:$AN$238,19,FALSE)</f>
        <v>0</v>
      </c>
      <c r="O35" s="40">
        <f>VLOOKUP(D35,[1]apoio_Preços_MGS!$A$6:$AN$238,20,FALSE)</f>
        <v>0</v>
      </c>
      <c r="P35" s="40">
        <f>VLOOKUP(D35,[1]apoio_Preços_MGS!$A$6:$AN$238,21,FALSE)</f>
        <v>0</v>
      </c>
      <c r="Q35" s="40">
        <f>VLOOKUP(D35,[1]apoio_Preços_MGS!$A$6:$AN$238,22,FALSE)</f>
        <v>0</v>
      </c>
      <c r="R35" s="40">
        <f>VLOOKUP(D35,[1]apoio_Preços_MGS!$A$6:$AN$238,23,FALSE)</f>
        <v>0</v>
      </c>
      <c r="S35" s="40">
        <f>VLOOKUP(D35,[1]apoio_Preços_MGS!$A$6:$AN$238,24,FALSE)</f>
        <v>0</v>
      </c>
      <c r="T35" s="40">
        <f>VLOOKUP(D35,[1]apoio_Preços_MGS!$A$6:$AN$238,25,FALSE)</f>
        <v>0</v>
      </c>
      <c r="U35" s="40">
        <f t="shared" si="3"/>
        <v>2150.6883989049652</v>
      </c>
      <c r="V35" s="41">
        <f>VLOOKUP(D35,[1]apoio_Preços_MGS!$A$6:$AN$238,27,FALSE)</f>
        <v>0.81799999999999995</v>
      </c>
      <c r="W35" s="40">
        <f t="shared" si="4"/>
        <v>1759.2631103042613</v>
      </c>
      <c r="X35" s="40">
        <f>VLOOKUP(D35,[1]apoio_Preços_MGS!$A$6:$AN$238,29,FALSE)</f>
        <v>30.014545454545452</v>
      </c>
      <c r="Y35" s="40">
        <f>VLOOKUP(D35,[1]apoio_Preços_MGS!$A$6:$AN$238,30,FALSE)</f>
        <v>282.32043012772351</v>
      </c>
      <c r="Z35" s="40">
        <f t="shared" si="5"/>
        <v>312.33497558226895</v>
      </c>
      <c r="AA35" s="40">
        <f>VLOOKUP(D35,[1]apoio_Preços_MGS!$A$6:$AN$238,32,FALSE)</f>
        <v>4.1293217258975332</v>
      </c>
      <c r="AB35" s="40">
        <f>VLOOKUP(D35,[1]apoio_Preços_MGS!$A$6:$AN$238,33,FALSE)</f>
        <v>281.74150413223134</v>
      </c>
      <c r="AC35" s="41">
        <f>VLOOKUP(D35,[1]apoio_Preços_MGS!$A$6:$AN$238,34,FALSE)</f>
        <v>0</v>
      </c>
      <c r="AD35" s="40">
        <f>(U35+W35+Z35+AB35+AA35+VLOOKUP(C35,[1]apoio_Prec_Folha!$A:$S,7,FALSE))*AC35</f>
        <v>0</v>
      </c>
      <c r="AE35" s="42">
        <f>VLOOKUP(D35,[1]apoio_Preços_MGS!$A$6:$AN$238,36,FALSE)</f>
        <v>7.0000000000000007E-2</v>
      </c>
      <c r="AF35" s="40">
        <f>(U35+W35+Z35+AB35+AD35+AA35+VLOOKUP(C35,[1]apoio_Prec_Folha!$A:$S,7,FALSE))*AE35</f>
        <v>354.02582992729191</v>
      </c>
      <c r="AG35" s="40">
        <f t="shared" si="6"/>
        <v>4862.18</v>
      </c>
      <c r="AH35" s="43">
        <f t="shared" si="7"/>
        <v>5670.17</v>
      </c>
      <c r="AI35" s="43">
        <f t="shared" si="8"/>
        <v>11340.34</v>
      </c>
      <c r="AJ35" s="43">
        <f t="shared" si="9"/>
        <v>635059.04</v>
      </c>
      <c r="AK35" s="44">
        <f>VLOOKUP(D35,[1]apoio_Preços_MGS!$A$6:$AN$238,39,FALSE)</f>
        <v>200.00000000000003</v>
      </c>
      <c r="AL35" s="44">
        <f>IF(J35="demais municípios",VLOOKUP(D35,[1]apoio_Preços_MGS!$A$6:$AN$238,39,FALSE),0)</f>
        <v>200.00000000000003</v>
      </c>
      <c r="AM35" s="44">
        <v>0</v>
      </c>
      <c r="AN35" s="45">
        <f t="shared" si="20"/>
        <v>400.00000000000006</v>
      </c>
      <c r="AO35" s="44">
        <f>VLOOKUP(D35,[1]apoio_Preços_MGS!$A$6:$AN$238,40,FALSE)</f>
        <v>549.35</v>
      </c>
      <c r="AP35" s="44">
        <f>IF(J35="demais municípios",VLOOKUP(D35,[1]apoio_Preços_MGS!$A$6:$AN$238,40,FALSE),0)</f>
        <v>549.35</v>
      </c>
      <c r="AQ35" s="44">
        <v>0</v>
      </c>
      <c r="AR35" s="45">
        <f t="shared" si="21"/>
        <v>1098.7</v>
      </c>
      <c r="AS35" s="45">
        <f t="shared" si="10"/>
        <v>1498.7</v>
      </c>
      <c r="AT35" s="45">
        <f t="shared" si="13"/>
        <v>89922</v>
      </c>
      <c r="AU35" s="62"/>
      <c r="AV35" s="46"/>
      <c r="AW35" s="47"/>
      <c r="AX35" s="48"/>
      <c r="AY35" s="49"/>
      <c r="BA35" s="48"/>
    </row>
    <row r="36" spans="1:53" ht="19.5" customHeight="1" x14ac:dyDescent="0.25">
      <c r="A36" s="33" t="str">
        <f t="shared" si="0"/>
        <v>95109440,05</v>
      </c>
      <c r="B36" s="33" t="str">
        <f t="shared" si="1"/>
        <v>3880,05</v>
      </c>
      <c r="C36" s="34" t="str">
        <f>VLOOKUP(D36,[1]apoio_Preços_MGS!$A$6:$B$238,2,FALSE)</f>
        <v>AGENTE DE SERVIÇO DE PARQUE HABILITADO</v>
      </c>
      <c r="D36" s="35">
        <v>388</v>
      </c>
      <c r="E36" s="33" t="str">
        <f>VLOOKUP(D36,[1]apoio_Preços_MGS!$A$6:$F$238,6,FALSE)</f>
        <v>AGENTE DE SERVIÇO DE PARQUE HABILITADO - DIARISTA DIURNO - 44H</v>
      </c>
      <c r="F36" s="36">
        <f>IFERROR(VLOOKUP(D36,'[1]apoio_cód catmas'!$B$2:$C$863,2,FALSE),0)</f>
        <v>95109</v>
      </c>
      <c r="G36" s="33" t="str">
        <f>IF(H36="N/A",VLOOKUP(F36&amp;40,'[1]apoio_cód catmas'!$A$1:$G$233,4,FALSE),VLOOKUP(F36&amp;H36,'[1]apoio_cód catmas'!$A$1:$G$233,4,FALSE))</f>
        <v>AGENTE DE SERVICO DE PARQUE HABILITADO - 44H</v>
      </c>
      <c r="H36" s="36">
        <v>44</v>
      </c>
      <c r="I36" s="37">
        <v>0.05</v>
      </c>
      <c r="J36" s="38" t="s">
        <v>46</v>
      </c>
      <c r="K36" s="39">
        <f>78-K37-1</f>
        <v>38</v>
      </c>
      <c r="L36" s="39">
        <f t="shared" si="2"/>
        <v>2280</v>
      </c>
      <c r="M36" s="40">
        <f>VLOOKUP(D36,[1]apoio_Preços_MGS!$A$6:$AN$238,18,FALSE)</f>
        <v>2150.6883989049652</v>
      </c>
      <c r="N36" s="40">
        <f>VLOOKUP(D36,[1]apoio_Preços_MGS!$A$6:$AN$238,19,FALSE)</f>
        <v>0</v>
      </c>
      <c r="O36" s="40">
        <f>VLOOKUP(D36,[1]apoio_Preços_MGS!$A$6:$AN$238,20,FALSE)</f>
        <v>0</v>
      </c>
      <c r="P36" s="40">
        <f>VLOOKUP(D36,[1]apoio_Preços_MGS!$A$6:$AN$238,21,FALSE)</f>
        <v>0</v>
      </c>
      <c r="Q36" s="40">
        <f>VLOOKUP(D36,[1]apoio_Preços_MGS!$A$6:$AN$238,22,FALSE)</f>
        <v>0</v>
      </c>
      <c r="R36" s="40">
        <f>VLOOKUP(D36,[1]apoio_Preços_MGS!$A$6:$AN$238,23,FALSE)</f>
        <v>0</v>
      </c>
      <c r="S36" s="40">
        <f>VLOOKUP(D36,[1]apoio_Preços_MGS!$A$6:$AN$238,24,FALSE)</f>
        <v>0</v>
      </c>
      <c r="T36" s="40">
        <f>VLOOKUP(D36,[1]apoio_Preços_MGS!$A$6:$AN$238,25,FALSE)</f>
        <v>0</v>
      </c>
      <c r="U36" s="40">
        <f t="shared" si="3"/>
        <v>2150.6883989049652</v>
      </c>
      <c r="V36" s="41">
        <f>VLOOKUP(D36,[1]apoio_Preços_MGS!$A$6:$AN$238,27,FALSE)</f>
        <v>0.81799999999999995</v>
      </c>
      <c r="W36" s="40">
        <f t="shared" si="4"/>
        <v>1759.2631103042613</v>
      </c>
      <c r="X36" s="40">
        <f>VLOOKUP(D36,[1]apoio_Preços_MGS!$A$6:$AN$238,29,FALSE)</f>
        <v>30.014545454545452</v>
      </c>
      <c r="Y36" s="40">
        <f>VLOOKUP(D36,[1]apoio_Preços_MGS!$A$6:$AN$238,30,FALSE)</f>
        <v>282.32043012772351</v>
      </c>
      <c r="Z36" s="40">
        <f t="shared" si="5"/>
        <v>312.33497558226895</v>
      </c>
      <c r="AA36" s="40">
        <f>VLOOKUP(D36,[1]apoio_Preços_MGS!$A$6:$AN$238,32,FALSE)</f>
        <v>4.1293217258975332</v>
      </c>
      <c r="AB36" s="40">
        <f>VLOOKUP(D36,[1]apoio_Preços_MGS!$A$6:$AN$238,33,FALSE)</f>
        <v>281.74150413223134</v>
      </c>
      <c r="AC36" s="41">
        <f>VLOOKUP(D36,[1]apoio_Preços_MGS!$A$6:$AN$238,34,FALSE)</f>
        <v>0</v>
      </c>
      <c r="AD36" s="40">
        <f>(U36+W36+Z36+AB36+AA36+VLOOKUP(C36,[1]apoio_Prec_Folha!$A:$S,7,FALSE))*AC36</f>
        <v>0</v>
      </c>
      <c r="AE36" s="42">
        <f>VLOOKUP(D36,[1]apoio_Preços_MGS!$A$6:$AN$238,36,FALSE)</f>
        <v>7.0000000000000007E-2</v>
      </c>
      <c r="AF36" s="40">
        <f>(U36+W36+Z36+AB36+AD36+AA36+VLOOKUP(C36,[1]apoio_Prec_Folha!$A:$S,7,FALSE))*AE36</f>
        <v>354.02582992729191</v>
      </c>
      <c r="AG36" s="40">
        <f t="shared" si="6"/>
        <v>4862.18</v>
      </c>
      <c r="AH36" s="43">
        <f t="shared" si="7"/>
        <v>5670.17</v>
      </c>
      <c r="AI36" s="43">
        <f t="shared" si="8"/>
        <v>215466.46</v>
      </c>
      <c r="AJ36" s="43">
        <f t="shared" si="9"/>
        <v>12927987.6</v>
      </c>
      <c r="AK36" s="44">
        <f>VLOOKUP(D36,[1]apoio_Preços_MGS!$A$6:$AN$238,39,FALSE)</f>
        <v>200.00000000000003</v>
      </c>
      <c r="AL36" s="44">
        <f>IF(J36="demais municípios",VLOOKUP(D36,[1]apoio_Preços_MGS!$A$6:$AN$238,39,FALSE),0)</f>
        <v>200.00000000000003</v>
      </c>
      <c r="AM36" s="44">
        <v>0</v>
      </c>
      <c r="AN36" s="45">
        <f t="shared" si="20"/>
        <v>7600.0000000000009</v>
      </c>
      <c r="AO36" s="44">
        <f>VLOOKUP(D36,[1]apoio_Preços_MGS!$A$6:$AN$238,40,FALSE)</f>
        <v>549.35</v>
      </c>
      <c r="AP36" s="44">
        <f>IF(J36="demais municípios",VLOOKUP(D36,[1]apoio_Preços_MGS!$A$6:$AN$238,40,FALSE),0)</f>
        <v>549.35</v>
      </c>
      <c r="AQ36" s="44">
        <v>0</v>
      </c>
      <c r="AR36" s="45">
        <f t="shared" si="21"/>
        <v>20875.3</v>
      </c>
      <c r="AS36" s="45">
        <f t="shared" si="10"/>
        <v>28475.3</v>
      </c>
      <c r="AT36" s="45">
        <f t="shared" si="13"/>
        <v>1708518</v>
      </c>
      <c r="AU36" s="62"/>
      <c r="AV36" s="46"/>
      <c r="AW36" s="47"/>
      <c r="AX36" s="48"/>
      <c r="AY36" s="49"/>
      <c r="BA36" s="48"/>
    </row>
    <row r="37" spans="1:53" ht="19.5" customHeight="1" x14ac:dyDescent="0.25">
      <c r="A37" s="33" t="str">
        <f t="shared" si="0"/>
        <v>95109440,05</v>
      </c>
      <c r="B37" s="33" t="str">
        <f t="shared" si="1"/>
        <v>3880,05</v>
      </c>
      <c r="C37" s="34" t="str">
        <f>VLOOKUP(D37,[1]apoio_Preços_MGS!$A$6:$B$238,2,FALSE)</f>
        <v>AGENTE DE SERVIÇO DE PARQUE HABILITADO</v>
      </c>
      <c r="D37" s="35">
        <v>388</v>
      </c>
      <c r="E37" s="33" t="str">
        <f>VLOOKUP(D37,[1]apoio_Preços_MGS!$A$6:$F$238,6,FALSE)</f>
        <v>AGENTE DE SERVIÇO DE PARQUE HABILITADO - DIARISTA DIURNO - 44H</v>
      </c>
      <c r="F37" s="36">
        <f>IFERROR(VLOOKUP(D37,'[1]apoio_cód catmas'!$B$2:$C$863,2,FALSE),0)</f>
        <v>95109</v>
      </c>
      <c r="G37" s="33" t="str">
        <f>IF(H37="N/A",VLOOKUP(F37&amp;40,'[1]apoio_cód catmas'!$A$1:$G$233,4,FALSE),VLOOKUP(F37&amp;H37,'[1]apoio_cód catmas'!$A$1:$G$233,4,FALSE))</f>
        <v>AGENTE DE SERVICO DE PARQUE HABILITADO - 44H</v>
      </c>
      <c r="H37" s="36">
        <v>44</v>
      </c>
      <c r="I37" s="37">
        <v>0.05</v>
      </c>
      <c r="J37" s="38" t="s">
        <v>47</v>
      </c>
      <c r="K37" s="39">
        <v>39</v>
      </c>
      <c r="L37" s="39">
        <f t="shared" si="2"/>
        <v>2340</v>
      </c>
      <c r="M37" s="40">
        <f>VLOOKUP(D37,[1]apoio_Preços_MGS!$A$6:$AN$238,18,FALSE)</f>
        <v>2150.6883989049652</v>
      </c>
      <c r="N37" s="40">
        <f>VLOOKUP(D37,[1]apoio_Preços_MGS!$A$6:$AN$238,19,FALSE)</f>
        <v>0</v>
      </c>
      <c r="O37" s="40">
        <f>VLOOKUP(D37,[1]apoio_Preços_MGS!$A$6:$AN$238,20,FALSE)</f>
        <v>0</v>
      </c>
      <c r="P37" s="40">
        <f>VLOOKUP(D37,[1]apoio_Preços_MGS!$A$6:$AN$238,21,FALSE)</f>
        <v>0</v>
      </c>
      <c r="Q37" s="40">
        <f>VLOOKUP(D37,[1]apoio_Preços_MGS!$A$6:$AN$238,22,FALSE)</f>
        <v>0</v>
      </c>
      <c r="R37" s="40">
        <f>VLOOKUP(D37,[1]apoio_Preços_MGS!$A$6:$AN$238,23,FALSE)</f>
        <v>0</v>
      </c>
      <c r="S37" s="40">
        <f>VLOOKUP(D37,[1]apoio_Preços_MGS!$A$6:$AN$238,24,FALSE)</f>
        <v>0</v>
      </c>
      <c r="T37" s="40">
        <f>VLOOKUP(D37,[1]apoio_Preços_MGS!$A$6:$AN$238,25,FALSE)</f>
        <v>0</v>
      </c>
      <c r="U37" s="40">
        <f t="shared" si="3"/>
        <v>2150.6883989049652</v>
      </c>
      <c r="V37" s="41">
        <f>VLOOKUP(D37,[1]apoio_Preços_MGS!$A$6:$AN$238,27,FALSE)</f>
        <v>0.81799999999999995</v>
      </c>
      <c r="W37" s="40">
        <f t="shared" si="4"/>
        <v>1759.2631103042613</v>
      </c>
      <c r="X37" s="40">
        <f>VLOOKUP(D37,[1]apoio_Preços_MGS!$A$6:$AN$238,29,FALSE)</f>
        <v>30.014545454545452</v>
      </c>
      <c r="Y37" s="40">
        <f>VLOOKUP(D37,[1]apoio_Preços_MGS!$A$6:$AN$238,30,FALSE)</f>
        <v>282.32043012772351</v>
      </c>
      <c r="Z37" s="40">
        <f t="shared" si="5"/>
        <v>312.33497558226895</v>
      </c>
      <c r="AA37" s="40">
        <f>VLOOKUP(D37,[1]apoio_Preços_MGS!$A$6:$AN$238,32,FALSE)</f>
        <v>4.1293217258975332</v>
      </c>
      <c r="AB37" s="40">
        <f>VLOOKUP(D37,[1]apoio_Preços_MGS!$A$6:$AN$238,33,FALSE)</f>
        <v>281.74150413223134</v>
      </c>
      <c r="AC37" s="41">
        <f>VLOOKUP(D37,[1]apoio_Preços_MGS!$A$6:$AN$238,34,FALSE)</f>
        <v>0</v>
      </c>
      <c r="AD37" s="40">
        <f>(U37+W37+Z37+AB37+AA37+VLOOKUP(C37,[1]apoio_Prec_Folha!$A:$S,7,FALSE))*AC37</f>
        <v>0</v>
      </c>
      <c r="AE37" s="42">
        <f>VLOOKUP(D37,[1]apoio_Preços_MGS!$A$6:$AN$238,36,FALSE)</f>
        <v>7.0000000000000007E-2</v>
      </c>
      <c r="AF37" s="40">
        <f>(U37+W37+Z37+AB37+AD37+AA37+VLOOKUP(C37,[1]apoio_Prec_Folha!$A:$S,7,FALSE))*AE37</f>
        <v>354.02582992729191</v>
      </c>
      <c r="AG37" s="40">
        <f t="shared" si="6"/>
        <v>4862.18</v>
      </c>
      <c r="AH37" s="43">
        <f t="shared" si="7"/>
        <v>5670.17</v>
      </c>
      <c r="AI37" s="43">
        <f t="shared" si="8"/>
        <v>221136.63</v>
      </c>
      <c r="AJ37" s="43">
        <f t="shared" si="9"/>
        <v>13268197.800000001</v>
      </c>
      <c r="AK37" s="44">
        <f>VLOOKUP(D37,[1]apoio_Preços_MGS!$A$6:$AN$238,39,FALSE)</f>
        <v>200.00000000000003</v>
      </c>
      <c r="AL37" s="44">
        <f>IF(J37="demais municípios",VLOOKUP(D37,[1]apoio_Preços_MGS!$A$6:$AN$238,39,FALSE),0)</f>
        <v>0</v>
      </c>
      <c r="AM37" s="44">
        <f>TRUNC(ROUND(($I37)/(1-($I37)),5)*VLOOKUP(D37,[1]apoio_Preços_MGS!$A$6:$AN$238,39,FALSE)+VLOOKUP(D37,[1]apoio_Preços_MGS!$A$6:$AN$238,39,FALSE),2)</f>
        <v>210.52</v>
      </c>
      <c r="AN37" s="45">
        <f t="shared" si="14"/>
        <v>8210.2800000000007</v>
      </c>
      <c r="AO37" s="44">
        <f>VLOOKUP(D37,[1]apoio_Preços_MGS!$A$6:$AN$238,40,FALSE)</f>
        <v>549.35</v>
      </c>
      <c r="AP37" s="44">
        <f>IF(J37="demais municípios",VLOOKUP(D37,[1]apoio_Preços_MGS!$A$6:$AN$238,40,FALSE),0)</f>
        <v>0</v>
      </c>
      <c r="AQ37" s="44">
        <f>TRUNC(ROUND(($I37)/(1-($I37)),5)*VLOOKUP(D37,[1]apoio_Preços_MGS!$A$6:$AN$238,40,FALSE)+VLOOKUP(D37,[1]apoio_Preços_MGS!$A$6:$AN$238,40,FALSE),2)</f>
        <v>578.26</v>
      </c>
      <c r="AR37" s="45">
        <f t="shared" si="15"/>
        <v>22552.14</v>
      </c>
      <c r="AS37" s="45">
        <f t="shared" si="10"/>
        <v>30762.42</v>
      </c>
      <c r="AT37" s="45">
        <f t="shared" si="13"/>
        <v>1845745.2</v>
      </c>
      <c r="AU37" s="62"/>
      <c r="AV37" s="46"/>
      <c r="AW37" s="47"/>
      <c r="AX37" s="48"/>
      <c r="AY37" s="49"/>
      <c r="BA37" s="48"/>
    </row>
    <row r="38" spans="1:53" ht="19.5" customHeight="1" x14ac:dyDescent="0.25">
      <c r="A38" s="33" t="str">
        <f t="shared" si="0"/>
        <v>106380400,03</v>
      </c>
      <c r="B38" s="33" t="str">
        <f t="shared" si="1"/>
        <v>3340,03</v>
      </c>
      <c r="C38" s="34" t="str">
        <f>VLOOKUP(D38,[1]apoio_Preços_MGS!$A$6:$B$238,2,FALSE)</f>
        <v>ANALISTA ESPECIALIZADO EM CIÊNCIAS SOCIAIS APLICADAS II</v>
      </c>
      <c r="D38" s="35">
        <v>334</v>
      </c>
      <c r="E38" s="33" t="str">
        <f>VLOOKUP(D38,[1]apoio_Preços_MGS!$A$6:$F$238,6,FALSE)</f>
        <v>ANALISTA ESPECIALIZADO EM CIÊNCIAS SOCIAIS APLICADAS II - DIARISTA DIURNO - 40H</v>
      </c>
      <c r="F38" s="36">
        <f>IFERROR(VLOOKUP(D38,'[1]apoio_cód catmas'!$B$2:$C$863,2,FALSE),0)</f>
        <v>106380</v>
      </c>
      <c r="G38" s="33" t="str">
        <f>IF(H38="N/A",VLOOKUP(F38&amp;40,'[1]apoio_cód catmas'!$A$1:$G$233,4,FALSE),VLOOKUP(F38&amp;H38,'[1]apoio_cód catmas'!$A$1:$G$233,4,FALSE))</f>
        <v>ANALISTA  ESPECIALIZADO  EM CIENCIAS SOCIAIS  APLICADAS II -30H, 36H, 40H OU 44H</v>
      </c>
      <c r="H38" s="36">
        <v>40</v>
      </c>
      <c r="I38" s="37">
        <v>0.03</v>
      </c>
      <c r="J38" s="38" t="s">
        <v>46</v>
      </c>
      <c r="K38" s="39">
        <v>3</v>
      </c>
      <c r="L38" s="39">
        <f t="shared" si="2"/>
        <v>180</v>
      </c>
      <c r="M38" s="40">
        <f>VLOOKUP(D38,[1]apoio_Preços_MGS!$A$6:$AN$238,18,FALSE)</f>
        <v>4210.7493653846141</v>
      </c>
      <c r="N38" s="40">
        <f>VLOOKUP(D38,[1]apoio_Preços_MGS!$A$6:$AN$238,19,FALSE)</f>
        <v>0</v>
      </c>
      <c r="O38" s="40">
        <f>VLOOKUP(D38,[1]apoio_Preços_MGS!$A$6:$AN$238,20,FALSE)</f>
        <v>0</v>
      </c>
      <c r="P38" s="40">
        <f>VLOOKUP(D38,[1]apoio_Preços_MGS!$A$6:$AN$238,21,FALSE)</f>
        <v>0</v>
      </c>
      <c r="Q38" s="40">
        <f>VLOOKUP(D38,[1]apoio_Preços_MGS!$A$6:$AN$238,22,FALSE)</f>
        <v>0</v>
      </c>
      <c r="R38" s="40">
        <f>VLOOKUP(D38,[1]apoio_Preços_MGS!$A$6:$AN$238,23,FALSE)</f>
        <v>0</v>
      </c>
      <c r="S38" s="40">
        <f>VLOOKUP(D38,[1]apoio_Preços_MGS!$A$6:$AN$238,24,FALSE)</f>
        <v>0</v>
      </c>
      <c r="T38" s="40">
        <f>VLOOKUP(D38,[1]apoio_Preços_MGS!$A$6:$AN$238,25,FALSE)</f>
        <v>0</v>
      </c>
      <c r="U38" s="40">
        <f t="shared" si="3"/>
        <v>4210.7493653846141</v>
      </c>
      <c r="V38" s="41">
        <f>VLOOKUP(D38,[1]apoio_Preços_MGS!$A$6:$AN$238,27,FALSE)</f>
        <v>0.81799999999999995</v>
      </c>
      <c r="W38" s="40">
        <f t="shared" si="4"/>
        <v>3444.3929808846142</v>
      </c>
      <c r="X38" s="40">
        <f>VLOOKUP(D38,[1]apoio_Preços_MGS!$A$6:$AN$238,29,FALSE)</f>
        <v>0</v>
      </c>
      <c r="Y38" s="40">
        <f>VLOOKUP(D38,[1]apoio_Preços_MGS!$A$6:$AN$238,30,FALSE)</f>
        <v>1.6581818181818184</v>
      </c>
      <c r="Z38" s="40">
        <f t="shared" si="5"/>
        <v>1.6581818181818184</v>
      </c>
      <c r="AA38" s="40">
        <f>VLOOKUP(D38,[1]apoio_Preços_MGS!$A$6:$AN$238,32,FALSE)</f>
        <v>8.0846387815384588</v>
      </c>
      <c r="AB38" s="40">
        <f>VLOOKUP(D38,[1]apoio_Preços_MGS!$A$6:$AN$238,33,FALSE)</f>
        <v>94.304055944055932</v>
      </c>
      <c r="AC38" s="41">
        <f>VLOOKUP(D38,[1]apoio_Preços_MGS!$A$6:$AN$238,34,FALSE)</f>
        <v>0</v>
      </c>
      <c r="AD38" s="40">
        <f>(U38+W38+Z38+AB38+AA38+VLOOKUP(C38,[1]apoio_Prec_Folha!$A:$S,7,FALSE))*AC38</f>
        <v>0</v>
      </c>
      <c r="AE38" s="42">
        <f>VLOOKUP(D38,[1]apoio_Preços_MGS!$A$6:$AN$238,36,FALSE)</f>
        <v>7.0000000000000007E-2</v>
      </c>
      <c r="AF38" s="40">
        <f>(U38+W38+Z38+AB38+AD38+AA38+VLOOKUP(C38,[1]apoio_Prec_Folha!$A:$S,7,FALSE))*AE38</f>
        <v>581.75384559691042</v>
      </c>
      <c r="AG38" s="40">
        <f t="shared" si="6"/>
        <v>8340.94</v>
      </c>
      <c r="AH38" s="43">
        <f t="shared" si="7"/>
        <v>9505.33</v>
      </c>
      <c r="AI38" s="43">
        <f t="shared" si="8"/>
        <v>28515.989999999998</v>
      </c>
      <c r="AJ38" s="43">
        <f t="shared" si="9"/>
        <v>1710959.4</v>
      </c>
      <c r="AK38" s="44">
        <f>VLOOKUP(D38,[1]apoio_Preços_MGS!$A$6:$AN$238,39,FALSE)</f>
        <v>181.81818181818184</v>
      </c>
      <c r="AL38" s="44">
        <f>IF(J38="demais municípios",VLOOKUP(D38,[1]apoio_Preços_MGS!$A$6:$AN$238,39,FALSE),0)</f>
        <v>181.81818181818184</v>
      </c>
      <c r="AM38" s="44">
        <v>0</v>
      </c>
      <c r="AN38" s="45">
        <f>AK38*K38</f>
        <v>545.4545454545455</v>
      </c>
      <c r="AO38" s="44">
        <f>VLOOKUP(D38,[1]apoio_Preços_MGS!$A$6:$AN$238,40,FALSE)</f>
        <v>551.58000000000004</v>
      </c>
      <c r="AP38" s="44">
        <f>IF(J38="demais municípios",VLOOKUP(D38,[1]apoio_Preços_MGS!$A$6:$AN$238,40,FALSE),0)</f>
        <v>551.58000000000004</v>
      </c>
      <c r="AQ38" s="44">
        <v>0</v>
      </c>
      <c r="AR38" s="45">
        <f>AO38*K38</f>
        <v>1654.7400000000002</v>
      </c>
      <c r="AS38" s="45">
        <f t="shared" si="10"/>
        <v>2200.1945454545457</v>
      </c>
      <c r="AT38" s="45">
        <f t="shared" si="13"/>
        <v>132011.67272727273</v>
      </c>
      <c r="AU38" s="62"/>
      <c r="AV38" s="46"/>
      <c r="AW38" s="47"/>
      <c r="AX38" s="48"/>
      <c r="AY38" s="49"/>
      <c r="BA38" s="48"/>
    </row>
    <row r="39" spans="1:53" ht="19.5" customHeight="1" x14ac:dyDescent="0.25">
      <c r="A39" s="33" t="str">
        <f t="shared" si="0"/>
        <v>106380400,05</v>
      </c>
      <c r="B39" s="33" t="str">
        <f t="shared" si="1"/>
        <v>3340,05</v>
      </c>
      <c r="C39" s="34" t="str">
        <f>VLOOKUP(D39,[1]apoio_Preços_MGS!$A$6:$B$238,2,FALSE)</f>
        <v>ANALISTA ESPECIALIZADO EM CIÊNCIAS SOCIAIS APLICADAS II</v>
      </c>
      <c r="D39" s="35">
        <v>334</v>
      </c>
      <c r="E39" s="33" t="str">
        <f>VLOOKUP(D39,[1]apoio_Preços_MGS!$A$6:$F$238,6,FALSE)</f>
        <v>ANALISTA ESPECIALIZADO EM CIÊNCIAS SOCIAIS APLICADAS II - DIARISTA DIURNO - 40H</v>
      </c>
      <c r="F39" s="36">
        <f>IFERROR(VLOOKUP(D39,'[1]apoio_cód catmas'!$B$2:$C$863,2,FALSE),0)</f>
        <v>106380</v>
      </c>
      <c r="G39" s="33" t="str">
        <f>IF(H39="N/A",VLOOKUP(F39&amp;40,'[1]apoio_cód catmas'!$A$1:$G$233,4,FALSE),VLOOKUP(F39&amp;H39,'[1]apoio_cód catmas'!$A$1:$G$233,4,FALSE))</f>
        <v>ANALISTA  ESPECIALIZADO  EM CIENCIAS SOCIAIS  APLICADAS II -30H, 36H, 40H OU 44H</v>
      </c>
      <c r="H39" s="36">
        <v>40</v>
      </c>
      <c r="I39" s="37">
        <v>0.05</v>
      </c>
      <c r="J39" s="38" t="s">
        <v>47</v>
      </c>
      <c r="K39" s="39">
        <v>26</v>
      </c>
      <c r="L39" s="39">
        <f t="shared" si="2"/>
        <v>1560</v>
      </c>
      <c r="M39" s="40">
        <f>VLOOKUP(D39,[1]apoio_Preços_MGS!$A$6:$AN$238,18,FALSE)</f>
        <v>4210.7493653846141</v>
      </c>
      <c r="N39" s="40">
        <f>VLOOKUP(D39,[1]apoio_Preços_MGS!$A$6:$AN$238,19,FALSE)</f>
        <v>0</v>
      </c>
      <c r="O39" s="40">
        <f>VLOOKUP(D39,[1]apoio_Preços_MGS!$A$6:$AN$238,20,FALSE)</f>
        <v>0</v>
      </c>
      <c r="P39" s="40">
        <f>VLOOKUP(D39,[1]apoio_Preços_MGS!$A$6:$AN$238,21,FALSE)</f>
        <v>0</v>
      </c>
      <c r="Q39" s="40">
        <f>VLOOKUP(D39,[1]apoio_Preços_MGS!$A$6:$AN$238,22,FALSE)</f>
        <v>0</v>
      </c>
      <c r="R39" s="40">
        <f>VLOOKUP(D39,[1]apoio_Preços_MGS!$A$6:$AN$238,23,FALSE)</f>
        <v>0</v>
      </c>
      <c r="S39" s="40">
        <f>VLOOKUP(D39,[1]apoio_Preços_MGS!$A$6:$AN$238,24,FALSE)</f>
        <v>0</v>
      </c>
      <c r="T39" s="40">
        <f>VLOOKUP(D39,[1]apoio_Preços_MGS!$A$6:$AN$238,25,FALSE)</f>
        <v>0</v>
      </c>
      <c r="U39" s="40">
        <f t="shared" si="3"/>
        <v>4210.7493653846141</v>
      </c>
      <c r="V39" s="41">
        <f>VLOOKUP(D39,[1]apoio_Preços_MGS!$A$6:$AN$238,27,FALSE)</f>
        <v>0.81799999999999995</v>
      </c>
      <c r="W39" s="40">
        <f t="shared" si="4"/>
        <v>3444.3929808846142</v>
      </c>
      <c r="X39" s="40">
        <f>VLOOKUP(D39,[1]apoio_Preços_MGS!$A$6:$AN$238,29,FALSE)</f>
        <v>0</v>
      </c>
      <c r="Y39" s="40">
        <f>VLOOKUP(D39,[1]apoio_Preços_MGS!$A$6:$AN$238,30,FALSE)</f>
        <v>1.6581818181818184</v>
      </c>
      <c r="Z39" s="40">
        <f t="shared" si="5"/>
        <v>1.6581818181818184</v>
      </c>
      <c r="AA39" s="40">
        <f>VLOOKUP(D39,[1]apoio_Preços_MGS!$A$6:$AN$238,32,FALSE)</f>
        <v>8.0846387815384588</v>
      </c>
      <c r="AB39" s="40">
        <f>VLOOKUP(D39,[1]apoio_Preços_MGS!$A$6:$AN$238,33,FALSE)</f>
        <v>94.304055944055932</v>
      </c>
      <c r="AC39" s="41">
        <f>VLOOKUP(D39,[1]apoio_Preços_MGS!$A$6:$AN$238,34,FALSE)</f>
        <v>0</v>
      </c>
      <c r="AD39" s="40">
        <f>(U39+W39+Z39+AB39+AA39+VLOOKUP(C39,[1]apoio_Prec_Folha!$A:$S,7,FALSE))*AC39</f>
        <v>0</v>
      </c>
      <c r="AE39" s="42">
        <f>VLOOKUP(D39,[1]apoio_Preços_MGS!$A$6:$AN$238,36,FALSE)</f>
        <v>7.0000000000000007E-2</v>
      </c>
      <c r="AF39" s="40">
        <f>(U39+W39+Z39+AB39+AD39+AA39+VLOOKUP(C39,[1]apoio_Prec_Folha!$A:$S,7,FALSE))*AE39</f>
        <v>581.75384559691042</v>
      </c>
      <c r="AG39" s="40">
        <f t="shared" si="6"/>
        <v>8340.94</v>
      </c>
      <c r="AH39" s="43">
        <f t="shared" si="7"/>
        <v>9727.0300000000007</v>
      </c>
      <c r="AI39" s="43">
        <f t="shared" si="8"/>
        <v>252902.78000000003</v>
      </c>
      <c r="AJ39" s="43">
        <f t="shared" si="9"/>
        <v>15174166.800000001</v>
      </c>
      <c r="AK39" s="44">
        <f>VLOOKUP(D39,[1]apoio_Preços_MGS!$A$6:$AN$238,39,FALSE)</f>
        <v>181.81818181818184</v>
      </c>
      <c r="AL39" s="44">
        <f>IF(J39="demais municípios",VLOOKUP(D39,[1]apoio_Preços_MGS!$A$6:$AN$238,39,FALSE),0)</f>
        <v>0</v>
      </c>
      <c r="AM39" s="44">
        <f>TRUNC(ROUND(($I39)/(1-($I39)),5)*VLOOKUP(D39,[1]apoio_Preços_MGS!$A$6:$AN$238,39,FALSE)+VLOOKUP(D39,[1]apoio_Preços_MGS!$A$6:$AN$238,39,FALSE),2)</f>
        <v>191.38</v>
      </c>
      <c r="AN39" s="45">
        <f t="shared" si="14"/>
        <v>4975.88</v>
      </c>
      <c r="AO39" s="44">
        <f>VLOOKUP(D39,[1]apoio_Preços_MGS!$A$6:$AN$238,40,FALSE)</f>
        <v>551.58000000000004</v>
      </c>
      <c r="AP39" s="44">
        <f>IF(J39="demais municípios",VLOOKUP(D39,[1]apoio_Preços_MGS!$A$6:$AN$238,40,FALSE),0)</f>
        <v>0</v>
      </c>
      <c r="AQ39" s="44">
        <f>TRUNC(ROUND(($I39)/(1-($I39)),5)*VLOOKUP(D39,[1]apoio_Preços_MGS!$A$6:$AN$238,40,FALSE)+VLOOKUP(D39,[1]apoio_Preços_MGS!$A$6:$AN$238,40,FALSE),2)</f>
        <v>580.6</v>
      </c>
      <c r="AR39" s="45">
        <f t="shared" si="15"/>
        <v>15095.6</v>
      </c>
      <c r="AS39" s="45">
        <f t="shared" si="10"/>
        <v>20071.48</v>
      </c>
      <c r="AT39" s="45">
        <f t="shared" si="13"/>
        <v>1204288.8</v>
      </c>
      <c r="AU39" s="62"/>
      <c r="AV39" s="46"/>
      <c r="AW39" s="47"/>
      <c r="AX39" s="48"/>
      <c r="AY39" s="49"/>
      <c r="BA39" s="48"/>
    </row>
    <row r="40" spans="1:53" ht="19.5" customHeight="1" x14ac:dyDescent="0.25">
      <c r="A40" s="33" t="str">
        <f t="shared" si="0"/>
        <v>106399400,02</v>
      </c>
      <c r="B40" s="33" t="str">
        <f t="shared" si="1"/>
        <v>3260,02</v>
      </c>
      <c r="C40" s="34" t="str">
        <f>VLOOKUP(D40,[1]apoio_Preços_MGS!$A$6:$B$238,2,FALSE)</f>
        <v>ANALISTA ESPECIALIZADO EM INFRAESTRUTURA</v>
      </c>
      <c r="D40" s="35">
        <v>326</v>
      </c>
      <c r="E40" s="33" t="str">
        <f>VLOOKUP(D40,[1]apoio_Preços_MGS!$A$6:$F$238,6,FALSE)</f>
        <v>ANALISTA ESPECIALIZADO EM INFRAESTRUTURA - DIARISTA DIURNO - 40H</v>
      </c>
      <c r="F40" s="36">
        <f>IFERROR(VLOOKUP(D40,'[1]apoio_cód catmas'!$B$2:$C$863,2,FALSE),0)</f>
        <v>106399</v>
      </c>
      <c r="G40" s="33" t="str">
        <f>IF(H40="N/A",VLOOKUP(F40&amp;40,'[1]apoio_cód catmas'!$A$1:$G$233,4,FALSE),VLOOKUP(F40&amp;H40,'[1]apoio_cód catmas'!$A$1:$G$233,4,FALSE))</f>
        <v>ANALISTA  ESPECIALIZADO  EM INFRAESTRUTURA - 30H, 36H, 40H  OU 44H</v>
      </c>
      <c r="H40" s="36">
        <v>40</v>
      </c>
      <c r="I40" s="37">
        <v>0.02</v>
      </c>
      <c r="J40" s="38" t="s">
        <v>46</v>
      </c>
      <c r="K40" s="39">
        <v>35</v>
      </c>
      <c r="L40" s="39">
        <f t="shared" si="2"/>
        <v>2100</v>
      </c>
      <c r="M40" s="40">
        <f>VLOOKUP(D40,[1]apoio_Preços_MGS!$A$6:$AN$238,18,FALSE)</f>
        <v>12213.619589977079</v>
      </c>
      <c r="N40" s="40">
        <f>VLOOKUP(D40,[1]apoio_Preços_MGS!$A$6:$AN$238,19,FALSE)</f>
        <v>0</v>
      </c>
      <c r="O40" s="40">
        <f>VLOOKUP(D40,[1]apoio_Preços_MGS!$A$6:$AN$238,20,FALSE)</f>
        <v>0</v>
      </c>
      <c r="P40" s="40">
        <f>VLOOKUP(D40,[1]apoio_Preços_MGS!$A$6:$AN$238,21,FALSE)</f>
        <v>0</v>
      </c>
      <c r="Q40" s="40">
        <f>VLOOKUP(D40,[1]apoio_Preços_MGS!$A$6:$AN$238,22,FALSE)</f>
        <v>0</v>
      </c>
      <c r="R40" s="40">
        <f>VLOOKUP(D40,[1]apoio_Preços_MGS!$A$6:$AN$238,23,FALSE)</f>
        <v>0</v>
      </c>
      <c r="S40" s="40">
        <f>VLOOKUP(D40,[1]apoio_Preços_MGS!$A$6:$AN$238,24,FALSE)</f>
        <v>0</v>
      </c>
      <c r="T40" s="40">
        <f>VLOOKUP(D40,[1]apoio_Preços_MGS!$A$6:$AN$238,25,FALSE)</f>
        <v>0</v>
      </c>
      <c r="U40" s="40">
        <f t="shared" si="3"/>
        <v>12213.619589977079</v>
      </c>
      <c r="V40" s="41">
        <f>VLOOKUP(D40,[1]apoio_Preços_MGS!$A$6:$AN$238,27,FALSE)</f>
        <v>0.81799999999999995</v>
      </c>
      <c r="W40" s="40">
        <f t="shared" si="4"/>
        <v>9990.740824601251</v>
      </c>
      <c r="X40" s="40">
        <f>VLOOKUP(D40,[1]apoio_Preços_MGS!$A$6:$AN$238,29,FALSE)</f>
        <v>0</v>
      </c>
      <c r="Y40" s="40">
        <f>VLOOKUP(D40,[1]apoio_Preços_MGS!$A$6:$AN$238,30,FALSE)</f>
        <v>7.5437862378295595</v>
      </c>
      <c r="Z40" s="40">
        <f t="shared" si="5"/>
        <v>7.5437862378295595</v>
      </c>
      <c r="AA40" s="40">
        <f>VLOOKUP(D40,[1]apoio_Preços_MGS!$A$6:$AN$238,32,FALSE)</f>
        <v>9.6</v>
      </c>
      <c r="AB40" s="40">
        <f>VLOOKUP(D40,[1]apoio_Preços_MGS!$A$6:$AN$238,33,FALSE)</f>
        <v>0.73920863309352747</v>
      </c>
      <c r="AC40" s="41">
        <f>VLOOKUP(D40,[1]apoio_Preços_MGS!$A$6:$AN$238,34,FALSE)</f>
        <v>0</v>
      </c>
      <c r="AD40" s="40">
        <f>(U40+W40+Z40+AB40+AA40+VLOOKUP(C40,[1]apoio_Prec_Folha!$A:$S,7,FALSE))*AC40</f>
        <v>0</v>
      </c>
      <c r="AE40" s="42">
        <f>VLOOKUP(D40,[1]apoio_Preços_MGS!$A$6:$AN$238,36,FALSE)</f>
        <v>7.0000000000000007E-2</v>
      </c>
      <c r="AF40" s="40">
        <f>(U40+W40+Z40+AB40+AD40+AA40+VLOOKUP(C40,[1]apoio_Prec_Folha!$A:$S,7,FALSE))*AE40</f>
        <v>1591.3340789492179</v>
      </c>
      <c r="AG40" s="40">
        <f t="shared" si="6"/>
        <v>23813.57</v>
      </c>
      <c r="AH40" s="43">
        <f t="shared" si="7"/>
        <v>26832.17</v>
      </c>
      <c r="AI40" s="43">
        <f t="shared" si="8"/>
        <v>939125.95</v>
      </c>
      <c r="AJ40" s="43">
        <f t="shared" si="9"/>
        <v>56347557</v>
      </c>
      <c r="AK40" s="44">
        <f>VLOOKUP(D40,[1]apoio_Preços_MGS!$A$6:$AN$238,39,FALSE)</f>
        <v>181.81818181818184</v>
      </c>
      <c r="AL40" s="44">
        <f>IF(J40="demais municípios",VLOOKUP(D40,[1]apoio_Preços_MGS!$A$6:$AN$238,39,FALSE),0)</f>
        <v>181.81818181818184</v>
      </c>
      <c r="AM40" s="44">
        <v>0</v>
      </c>
      <c r="AN40" s="45">
        <f t="shared" ref="AN40:AN45" si="22">AK40*K40</f>
        <v>6363.6363636363649</v>
      </c>
      <c r="AO40" s="44">
        <f>VLOOKUP(D40,[1]apoio_Preços_MGS!$A$6:$AN$238,40,FALSE)</f>
        <v>511.1</v>
      </c>
      <c r="AP40" s="44">
        <f>IF(J40="demais municípios",VLOOKUP(D40,[1]apoio_Preços_MGS!$A$6:$AN$238,40,FALSE),0)</f>
        <v>511.1</v>
      </c>
      <c r="AQ40" s="44">
        <v>0</v>
      </c>
      <c r="AR40" s="45">
        <f t="shared" ref="AR40:AR45" si="23">AO40*K40</f>
        <v>17888.5</v>
      </c>
      <c r="AS40" s="45">
        <f t="shared" si="10"/>
        <v>24252.136363636364</v>
      </c>
      <c r="AT40" s="45">
        <f t="shared" si="13"/>
        <v>1455128.1818181819</v>
      </c>
      <c r="AU40" s="62"/>
      <c r="AV40" s="46"/>
      <c r="AW40" s="47"/>
      <c r="AX40" s="48"/>
      <c r="AY40" s="49"/>
      <c r="BA40" s="48"/>
    </row>
    <row r="41" spans="1:53" ht="19.5" customHeight="1" x14ac:dyDescent="0.25">
      <c r="A41" s="33" t="str">
        <f t="shared" si="0"/>
        <v>106399400,03</v>
      </c>
      <c r="B41" s="33" t="str">
        <f t="shared" si="1"/>
        <v>3260,03</v>
      </c>
      <c r="C41" s="34" t="str">
        <f>VLOOKUP(D41,[1]apoio_Preços_MGS!$A$6:$B$238,2,FALSE)</f>
        <v>ANALISTA ESPECIALIZADO EM INFRAESTRUTURA</v>
      </c>
      <c r="D41" s="35">
        <v>326</v>
      </c>
      <c r="E41" s="33" t="str">
        <f>VLOOKUP(D41,[1]apoio_Preços_MGS!$A$6:$F$238,6,FALSE)</f>
        <v>ANALISTA ESPECIALIZADO EM INFRAESTRUTURA - DIARISTA DIURNO - 40H</v>
      </c>
      <c r="F41" s="36">
        <f>IFERROR(VLOOKUP(D41,'[1]apoio_cód catmas'!$B$2:$C$863,2,FALSE),0)</f>
        <v>106399</v>
      </c>
      <c r="G41" s="33" t="str">
        <f>IF(H41="N/A",VLOOKUP(F41&amp;40,'[1]apoio_cód catmas'!$A$1:$G$233,4,FALSE),VLOOKUP(F41&amp;H41,'[1]apoio_cód catmas'!$A$1:$G$233,4,FALSE))</f>
        <v>ANALISTA  ESPECIALIZADO  EM INFRAESTRUTURA - 30H, 36H, 40H  OU 44H</v>
      </c>
      <c r="H41" s="36">
        <v>40</v>
      </c>
      <c r="I41" s="37">
        <v>0.03</v>
      </c>
      <c r="J41" s="38" t="s">
        <v>46</v>
      </c>
      <c r="K41" s="39">
        <f>69-4</f>
        <v>65</v>
      </c>
      <c r="L41" s="39">
        <f t="shared" si="2"/>
        <v>3900</v>
      </c>
      <c r="M41" s="40">
        <f>VLOOKUP(D41,[1]apoio_Preços_MGS!$A$6:$AN$238,18,FALSE)</f>
        <v>12213.619589977079</v>
      </c>
      <c r="N41" s="40">
        <f>VLOOKUP(D41,[1]apoio_Preços_MGS!$A$6:$AN$238,19,FALSE)</f>
        <v>0</v>
      </c>
      <c r="O41" s="40">
        <f>VLOOKUP(D41,[1]apoio_Preços_MGS!$A$6:$AN$238,20,FALSE)</f>
        <v>0</v>
      </c>
      <c r="P41" s="40">
        <f>VLOOKUP(D41,[1]apoio_Preços_MGS!$A$6:$AN$238,21,FALSE)</f>
        <v>0</v>
      </c>
      <c r="Q41" s="40">
        <f>VLOOKUP(D41,[1]apoio_Preços_MGS!$A$6:$AN$238,22,FALSE)</f>
        <v>0</v>
      </c>
      <c r="R41" s="40">
        <f>VLOOKUP(D41,[1]apoio_Preços_MGS!$A$6:$AN$238,23,FALSE)</f>
        <v>0</v>
      </c>
      <c r="S41" s="40">
        <f>VLOOKUP(D41,[1]apoio_Preços_MGS!$A$6:$AN$238,24,FALSE)</f>
        <v>0</v>
      </c>
      <c r="T41" s="40">
        <f>VLOOKUP(D41,[1]apoio_Preços_MGS!$A$6:$AN$238,25,FALSE)</f>
        <v>0</v>
      </c>
      <c r="U41" s="40">
        <f t="shared" si="3"/>
        <v>12213.619589977079</v>
      </c>
      <c r="V41" s="41">
        <f>VLOOKUP(D41,[1]apoio_Preços_MGS!$A$6:$AN$238,27,FALSE)</f>
        <v>0.81799999999999995</v>
      </c>
      <c r="W41" s="40">
        <f t="shared" si="4"/>
        <v>9990.740824601251</v>
      </c>
      <c r="X41" s="40">
        <f>VLOOKUP(D41,[1]apoio_Preços_MGS!$A$6:$AN$238,29,FALSE)</f>
        <v>0</v>
      </c>
      <c r="Y41" s="40">
        <f>VLOOKUP(D41,[1]apoio_Preços_MGS!$A$6:$AN$238,30,FALSE)</f>
        <v>7.5437862378295595</v>
      </c>
      <c r="Z41" s="40">
        <f t="shared" si="5"/>
        <v>7.5437862378295595</v>
      </c>
      <c r="AA41" s="40">
        <f>VLOOKUP(D41,[1]apoio_Preços_MGS!$A$6:$AN$238,32,FALSE)</f>
        <v>9.6</v>
      </c>
      <c r="AB41" s="40">
        <f>VLOOKUP(D41,[1]apoio_Preços_MGS!$A$6:$AN$238,33,FALSE)</f>
        <v>0.73920863309352747</v>
      </c>
      <c r="AC41" s="41">
        <f>VLOOKUP(D41,[1]apoio_Preços_MGS!$A$6:$AN$238,34,FALSE)</f>
        <v>0</v>
      </c>
      <c r="AD41" s="40">
        <f>(U41+W41+Z41+AB41+AA41+VLOOKUP(C41,[1]apoio_Prec_Folha!$A:$S,7,FALSE))*AC41</f>
        <v>0</v>
      </c>
      <c r="AE41" s="42">
        <f>VLOOKUP(D41,[1]apoio_Preços_MGS!$A$6:$AN$238,36,FALSE)</f>
        <v>7.0000000000000007E-2</v>
      </c>
      <c r="AF41" s="40">
        <f>(U41+W41+Z41+AB41+AD41+AA41+VLOOKUP(C41,[1]apoio_Prec_Folha!$A:$S,7,FALSE))*AE41</f>
        <v>1591.3340789492179</v>
      </c>
      <c r="AG41" s="40">
        <f t="shared" si="6"/>
        <v>23813.57</v>
      </c>
      <c r="AH41" s="43">
        <f t="shared" si="7"/>
        <v>27137.94</v>
      </c>
      <c r="AI41" s="43">
        <f t="shared" si="8"/>
        <v>1763966.0999999999</v>
      </c>
      <c r="AJ41" s="43">
        <f t="shared" si="9"/>
        <v>105837966</v>
      </c>
      <c r="AK41" s="44">
        <f>VLOOKUP(D41,[1]apoio_Preços_MGS!$A$6:$AN$238,39,FALSE)</f>
        <v>181.81818181818184</v>
      </c>
      <c r="AL41" s="44">
        <f>IF(J41="demais municípios",VLOOKUP(D41,[1]apoio_Preços_MGS!$A$6:$AN$238,39,FALSE),0)</f>
        <v>181.81818181818184</v>
      </c>
      <c r="AM41" s="44">
        <v>0</v>
      </c>
      <c r="AN41" s="45">
        <f t="shared" si="22"/>
        <v>11818.18181818182</v>
      </c>
      <c r="AO41" s="44">
        <f>VLOOKUP(D41,[1]apoio_Preços_MGS!$A$6:$AN$238,40,FALSE)</f>
        <v>511.1</v>
      </c>
      <c r="AP41" s="44">
        <f>IF(J41="demais municípios",VLOOKUP(D41,[1]apoio_Preços_MGS!$A$6:$AN$238,40,FALSE),0)</f>
        <v>511.1</v>
      </c>
      <c r="AQ41" s="44">
        <v>0</v>
      </c>
      <c r="AR41" s="45">
        <f t="shared" si="23"/>
        <v>33221.5</v>
      </c>
      <c r="AS41" s="45">
        <f t="shared" si="10"/>
        <v>45039.681818181823</v>
      </c>
      <c r="AT41" s="45">
        <f t="shared" si="13"/>
        <v>2702380.9090909092</v>
      </c>
      <c r="AU41" s="62"/>
      <c r="AV41" s="46"/>
      <c r="AW41" s="47"/>
      <c r="AX41" s="48"/>
      <c r="AY41" s="49"/>
      <c r="BA41" s="48"/>
    </row>
    <row r="42" spans="1:53" ht="19.5" customHeight="1" x14ac:dyDescent="0.25">
      <c r="A42" s="33" t="str">
        <f t="shared" si="0"/>
        <v>106399400,035</v>
      </c>
      <c r="B42" s="33" t="str">
        <f t="shared" si="1"/>
        <v>3260,035</v>
      </c>
      <c r="C42" s="34" t="str">
        <f>VLOOKUP(D42,[1]apoio_Preços_MGS!$A$6:$B$238,2,FALSE)</f>
        <v>ANALISTA ESPECIALIZADO EM INFRAESTRUTURA</v>
      </c>
      <c r="D42" s="35">
        <v>326</v>
      </c>
      <c r="E42" s="33" t="str">
        <f>VLOOKUP(D42,[1]apoio_Preços_MGS!$A$6:$F$238,6,FALSE)</f>
        <v>ANALISTA ESPECIALIZADO EM INFRAESTRUTURA - DIARISTA DIURNO - 40H</v>
      </c>
      <c r="F42" s="36">
        <f>IFERROR(VLOOKUP(D42,'[1]apoio_cód catmas'!$B$2:$C$863,2,FALSE),0)</f>
        <v>106399</v>
      </c>
      <c r="G42" s="33" t="str">
        <f>IF(H42="N/A",VLOOKUP(F42&amp;40,'[1]apoio_cód catmas'!$A$1:$G$233,4,FALSE),VLOOKUP(F42&amp;H42,'[1]apoio_cód catmas'!$A$1:$G$233,4,FALSE))</f>
        <v>ANALISTA  ESPECIALIZADO  EM INFRAESTRUTURA - 30H, 36H, 40H  OU 44H</v>
      </c>
      <c r="H42" s="36">
        <v>40</v>
      </c>
      <c r="I42" s="37">
        <v>3.5000000000000003E-2</v>
      </c>
      <c r="J42" s="38" t="s">
        <v>46</v>
      </c>
      <c r="K42" s="39">
        <v>9</v>
      </c>
      <c r="L42" s="39">
        <f t="shared" si="2"/>
        <v>540</v>
      </c>
      <c r="M42" s="40">
        <f>VLOOKUP(D42,[1]apoio_Preços_MGS!$A$6:$AN$238,18,FALSE)</f>
        <v>12213.619589977079</v>
      </c>
      <c r="N42" s="40">
        <f>VLOOKUP(D42,[1]apoio_Preços_MGS!$A$6:$AN$238,19,FALSE)</f>
        <v>0</v>
      </c>
      <c r="O42" s="40">
        <f>VLOOKUP(D42,[1]apoio_Preços_MGS!$A$6:$AN$238,20,FALSE)</f>
        <v>0</v>
      </c>
      <c r="P42" s="40">
        <f>VLOOKUP(D42,[1]apoio_Preços_MGS!$A$6:$AN$238,21,FALSE)</f>
        <v>0</v>
      </c>
      <c r="Q42" s="40">
        <f>VLOOKUP(D42,[1]apoio_Preços_MGS!$A$6:$AN$238,22,FALSE)</f>
        <v>0</v>
      </c>
      <c r="R42" s="40">
        <f>VLOOKUP(D42,[1]apoio_Preços_MGS!$A$6:$AN$238,23,FALSE)</f>
        <v>0</v>
      </c>
      <c r="S42" s="40">
        <f>VLOOKUP(D42,[1]apoio_Preços_MGS!$A$6:$AN$238,24,FALSE)</f>
        <v>0</v>
      </c>
      <c r="T42" s="40">
        <f>VLOOKUP(D42,[1]apoio_Preços_MGS!$A$6:$AN$238,25,FALSE)</f>
        <v>0</v>
      </c>
      <c r="U42" s="40">
        <f t="shared" si="3"/>
        <v>12213.619589977079</v>
      </c>
      <c r="V42" s="41">
        <f>VLOOKUP(D42,[1]apoio_Preços_MGS!$A$6:$AN$238,27,FALSE)</f>
        <v>0.81799999999999995</v>
      </c>
      <c r="W42" s="40">
        <f t="shared" si="4"/>
        <v>9990.740824601251</v>
      </c>
      <c r="X42" s="40">
        <f>VLOOKUP(D42,[1]apoio_Preços_MGS!$A$6:$AN$238,29,FALSE)</f>
        <v>0</v>
      </c>
      <c r="Y42" s="40">
        <f>VLOOKUP(D42,[1]apoio_Preços_MGS!$A$6:$AN$238,30,FALSE)</f>
        <v>7.5437862378295595</v>
      </c>
      <c r="Z42" s="40">
        <f t="shared" si="5"/>
        <v>7.5437862378295595</v>
      </c>
      <c r="AA42" s="40">
        <f>VLOOKUP(D42,[1]apoio_Preços_MGS!$A$6:$AN$238,32,FALSE)</f>
        <v>9.6</v>
      </c>
      <c r="AB42" s="40">
        <f>VLOOKUP(D42,[1]apoio_Preços_MGS!$A$6:$AN$238,33,FALSE)</f>
        <v>0.73920863309352747</v>
      </c>
      <c r="AC42" s="41">
        <f>VLOOKUP(D42,[1]apoio_Preços_MGS!$A$6:$AN$238,34,FALSE)</f>
        <v>0</v>
      </c>
      <c r="AD42" s="40">
        <f>(U42+W42+Z42+AB42+AA42+VLOOKUP(C42,[1]apoio_Prec_Folha!$A:$S,7,FALSE))*AC42</f>
        <v>0</v>
      </c>
      <c r="AE42" s="42">
        <f>VLOOKUP(D42,[1]apoio_Preços_MGS!$A$6:$AN$238,36,FALSE)</f>
        <v>7.0000000000000007E-2</v>
      </c>
      <c r="AF42" s="40">
        <f>(U42+W42+Z42+AB42+AD42+AA42+VLOOKUP(C42,[1]apoio_Prec_Folha!$A:$S,7,FALSE))*AE42</f>
        <v>1591.3340789492179</v>
      </c>
      <c r="AG42" s="40">
        <f t="shared" si="6"/>
        <v>23813.57</v>
      </c>
      <c r="AH42" s="43">
        <f t="shared" si="7"/>
        <v>27293.439999999999</v>
      </c>
      <c r="AI42" s="43">
        <f t="shared" si="8"/>
        <v>245640.95999999999</v>
      </c>
      <c r="AJ42" s="43">
        <f t="shared" si="9"/>
        <v>14738457.6</v>
      </c>
      <c r="AK42" s="44">
        <f>VLOOKUP(D42,[1]apoio_Preços_MGS!$A$6:$AN$238,39,FALSE)</f>
        <v>181.81818181818184</v>
      </c>
      <c r="AL42" s="44">
        <f>IF(J42="demais municípios",VLOOKUP(D42,[1]apoio_Preços_MGS!$A$6:$AN$238,39,FALSE),0)</f>
        <v>181.81818181818184</v>
      </c>
      <c r="AM42" s="44">
        <v>0</v>
      </c>
      <c r="AN42" s="45">
        <f t="shared" si="22"/>
        <v>1636.3636363636365</v>
      </c>
      <c r="AO42" s="44">
        <f>VLOOKUP(D42,[1]apoio_Preços_MGS!$A$6:$AN$238,40,FALSE)</f>
        <v>511.1</v>
      </c>
      <c r="AP42" s="44">
        <f>IF(J42="demais municípios",VLOOKUP(D42,[1]apoio_Preços_MGS!$A$6:$AN$238,40,FALSE),0)</f>
        <v>511.1</v>
      </c>
      <c r="AQ42" s="44">
        <v>0</v>
      </c>
      <c r="AR42" s="45">
        <f t="shared" si="23"/>
        <v>4599.9000000000005</v>
      </c>
      <c r="AS42" s="45">
        <f t="shared" si="10"/>
        <v>6236.2636363636375</v>
      </c>
      <c r="AT42" s="45">
        <f t="shared" si="13"/>
        <v>374175.81818181823</v>
      </c>
      <c r="AU42" s="62"/>
      <c r="AV42" s="46"/>
      <c r="AW42" s="47"/>
      <c r="AX42" s="48"/>
      <c r="AY42" s="49"/>
      <c r="BA42" s="48"/>
    </row>
    <row r="43" spans="1:53" ht="19.5" customHeight="1" x14ac:dyDescent="0.25">
      <c r="A43" s="33" t="str">
        <f t="shared" si="0"/>
        <v>106399400,04</v>
      </c>
      <c r="B43" s="33" t="str">
        <f t="shared" si="1"/>
        <v>3260,04</v>
      </c>
      <c r="C43" s="34" t="str">
        <f>VLOOKUP(D43,[1]apoio_Preços_MGS!$A$6:$B$238,2,FALSE)</f>
        <v>ANALISTA ESPECIALIZADO EM INFRAESTRUTURA</v>
      </c>
      <c r="D43" s="35">
        <v>326</v>
      </c>
      <c r="E43" s="33" t="str">
        <f>VLOOKUP(D43,[1]apoio_Preços_MGS!$A$6:$F$238,6,FALSE)</f>
        <v>ANALISTA ESPECIALIZADO EM INFRAESTRUTURA - DIARISTA DIURNO - 40H</v>
      </c>
      <c r="F43" s="36">
        <f>IFERROR(VLOOKUP(D43,'[1]apoio_cód catmas'!$B$2:$C$863,2,FALSE),0)</f>
        <v>106399</v>
      </c>
      <c r="G43" s="33" t="str">
        <f>IF(H43="N/A",VLOOKUP(F43&amp;40,'[1]apoio_cód catmas'!$A$1:$G$233,4,FALSE),VLOOKUP(F43&amp;H43,'[1]apoio_cód catmas'!$A$1:$G$233,4,FALSE))</f>
        <v>ANALISTA  ESPECIALIZADO  EM INFRAESTRUTURA - 30H, 36H, 40H  OU 44H</v>
      </c>
      <c r="H43" s="36">
        <v>40</v>
      </c>
      <c r="I43" s="37">
        <v>0.04</v>
      </c>
      <c r="J43" s="38" t="s">
        <v>46</v>
      </c>
      <c r="K43" s="39">
        <v>15</v>
      </c>
      <c r="L43" s="39">
        <f t="shared" si="2"/>
        <v>900</v>
      </c>
      <c r="M43" s="40">
        <f>VLOOKUP(D43,[1]apoio_Preços_MGS!$A$6:$AN$238,18,FALSE)</f>
        <v>12213.619589977079</v>
      </c>
      <c r="N43" s="40">
        <f>VLOOKUP(D43,[1]apoio_Preços_MGS!$A$6:$AN$238,19,FALSE)</f>
        <v>0</v>
      </c>
      <c r="O43" s="40">
        <f>VLOOKUP(D43,[1]apoio_Preços_MGS!$A$6:$AN$238,20,FALSE)</f>
        <v>0</v>
      </c>
      <c r="P43" s="40">
        <f>VLOOKUP(D43,[1]apoio_Preços_MGS!$A$6:$AN$238,21,FALSE)</f>
        <v>0</v>
      </c>
      <c r="Q43" s="40">
        <f>VLOOKUP(D43,[1]apoio_Preços_MGS!$A$6:$AN$238,22,FALSE)</f>
        <v>0</v>
      </c>
      <c r="R43" s="40">
        <f>VLOOKUP(D43,[1]apoio_Preços_MGS!$A$6:$AN$238,23,FALSE)</f>
        <v>0</v>
      </c>
      <c r="S43" s="40">
        <f>VLOOKUP(D43,[1]apoio_Preços_MGS!$A$6:$AN$238,24,FALSE)</f>
        <v>0</v>
      </c>
      <c r="T43" s="40">
        <f>VLOOKUP(D43,[1]apoio_Preços_MGS!$A$6:$AN$238,25,FALSE)</f>
        <v>0</v>
      </c>
      <c r="U43" s="40">
        <f t="shared" si="3"/>
        <v>12213.619589977079</v>
      </c>
      <c r="V43" s="41">
        <f>VLOOKUP(D43,[1]apoio_Preços_MGS!$A$6:$AN$238,27,FALSE)</f>
        <v>0.81799999999999995</v>
      </c>
      <c r="W43" s="40">
        <f t="shared" si="4"/>
        <v>9990.740824601251</v>
      </c>
      <c r="X43" s="40">
        <f>VLOOKUP(D43,[1]apoio_Preços_MGS!$A$6:$AN$238,29,FALSE)</f>
        <v>0</v>
      </c>
      <c r="Y43" s="40">
        <f>VLOOKUP(D43,[1]apoio_Preços_MGS!$A$6:$AN$238,30,FALSE)</f>
        <v>7.5437862378295595</v>
      </c>
      <c r="Z43" s="40">
        <f t="shared" si="5"/>
        <v>7.5437862378295595</v>
      </c>
      <c r="AA43" s="40">
        <f>VLOOKUP(D43,[1]apoio_Preços_MGS!$A$6:$AN$238,32,FALSE)</f>
        <v>9.6</v>
      </c>
      <c r="AB43" s="40">
        <f>VLOOKUP(D43,[1]apoio_Preços_MGS!$A$6:$AN$238,33,FALSE)</f>
        <v>0.73920863309352747</v>
      </c>
      <c r="AC43" s="41">
        <f>VLOOKUP(D43,[1]apoio_Preços_MGS!$A$6:$AN$238,34,FALSE)</f>
        <v>0</v>
      </c>
      <c r="AD43" s="40">
        <f>(U43+W43+Z43+AB43+AA43+VLOOKUP(C43,[1]apoio_Prec_Folha!$A:$S,7,FALSE))*AC43</f>
        <v>0</v>
      </c>
      <c r="AE43" s="42">
        <f>VLOOKUP(D43,[1]apoio_Preços_MGS!$A$6:$AN$238,36,FALSE)</f>
        <v>7.0000000000000007E-2</v>
      </c>
      <c r="AF43" s="40">
        <f>(U43+W43+Z43+AB43+AD43+AA43+VLOOKUP(C43,[1]apoio_Prec_Folha!$A:$S,7,FALSE))*AE43</f>
        <v>1591.3340789492179</v>
      </c>
      <c r="AG43" s="40">
        <f t="shared" si="6"/>
        <v>23813.57</v>
      </c>
      <c r="AH43" s="43">
        <f t="shared" si="7"/>
        <v>27450.85</v>
      </c>
      <c r="AI43" s="43">
        <f t="shared" si="8"/>
        <v>411762.75</v>
      </c>
      <c r="AJ43" s="43">
        <f t="shared" si="9"/>
        <v>24705765</v>
      </c>
      <c r="AK43" s="44">
        <f>VLOOKUP(D43,[1]apoio_Preços_MGS!$A$6:$AN$238,39,FALSE)</f>
        <v>181.81818181818184</v>
      </c>
      <c r="AL43" s="44">
        <f>IF(J43="demais municípios",VLOOKUP(D43,[1]apoio_Preços_MGS!$A$6:$AN$238,39,FALSE),0)</f>
        <v>181.81818181818184</v>
      </c>
      <c r="AM43" s="44">
        <v>0</v>
      </c>
      <c r="AN43" s="45">
        <f t="shared" si="22"/>
        <v>2727.2727272727275</v>
      </c>
      <c r="AO43" s="44">
        <f>VLOOKUP(D43,[1]apoio_Preços_MGS!$A$6:$AN$238,40,FALSE)</f>
        <v>511.1</v>
      </c>
      <c r="AP43" s="44">
        <f>IF(J43="demais municípios",VLOOKUP(D43,[1]apoio_Preços_MGS!$A$6:$AN$238,40,FALSE),0)</f>
        <v>511.1</v>
      </c>
      <c r="AQ43" s="44">
        <v>0</v>
      </c>
      <c r="AR43" s="45">
        <f t="shared" si="23"/>
        <v>7666.5</v>
      </c>
      <c r="AS43" s="45">
        <f t="shared" si="10"/>
        <v>10393.772727272728</v>
      </c>
      <c r="AT43" s="45">
        <f t="shared" si="13"/>
        <v>623626.36363636365</v>
      </c>
      <c r="AU43" s="62"/>
      <c r="AV43" s="46"/>
      <c r="AW43" s="47"/>
      <c r="AX43" s="48"/>
      <c r="AY43" s="49"/>
      <c r="BA43" s="48"/>
    </row>
    <row r="44" spans="1:53" ht="19.5" customHeight="1" x14ac:dyDescent="0.25">
      <c r="A44" s="33" t="str">
        <f t="shared" si="0"/>
        <v>106399400,05</v>
      </c>
      <c r="B44" s="33" t="str">
        <f t="shared" si="1"/>
        <v>3260,05</v>
      </c>
      <c r="C44" s="34" t="str">
        <f>VLOOKUP(D44,[1]apoio_Preços_MGS!$A$6:$B$238,2,FALSE)</f>
        <v>ANALISTA ESPECIALIZADO EM INFRAESTRUTURA</v>
      </c>
      <c r="D44" s="35">
        <v>326</v>
      </c>
      <c r="E44" s="33" t="str">
        <f>VLOOKUP(D44,[1]apoio_Preços_MGS!$A$6:$F$238,6,FALSE)</f>
        <v>ANALISTA ESPECIALIZADO EM INFRAESTRUTURA - DIARISTA DIURNO - 40H</v>
      </c>
      <c r="F44" s="36">
        <f>IFERROR(VLOOKUP(D44,'[1]apoio_cód catmas'!$B$2:$C$863,2,FALSE),0)</f>
        <v>106399</v>
      </c>
      <c r="G44" s="33" t="str">
        <f>IF(H44="N/A",VLOOKUP(F44&amp;40,'[1]apoio_cód catmas'!$A$1:$G$233,4,FALSE),VLOOKUP(F44&amp;H44,'[1]apoio_cód catmas'!$A$1:$G$233,4,FALSE))</f>
        <v>ANALISTA  ESPECIALIZADO  EM INFRAESTRUTURA - 30H, 36H, 40H  OU 44H</v>
      </c>
      <c r="H44" s="36">
        <v>40</v>
      </c>
      <c r="I44" s="37">
        <v>0.05</v>
      </c>
      <c r="J44" s="38" t="s">
        <v>46</v>
      </c>
      <c r="K44" s="39">
        <v>4</v>
      </c>
      <c r="L44" s="39">
        <f>K44*56</f>
        <v>224</v>
      </c>
      <c r="M44" s="40">
        <f>VLOOKUP(D44,[1]apoio_Preços_MGS!$A$6:$AN$238,18,FALSE)</f>
        <v>12213.619589977079</v>
      </c>
      <c r="N44" s="40">
        <f>VLOOKUP(D44,[1]apoio_Preços_MGS!$A$6:$AN$238,19,FALSE)</f>
        <v>0</v>
      </c>
      <c r="O44" s="40">
        <f>VLOOKUP(D44,[1]apoio_Preços_MGS!$A$6:$AN$238,20,FALSE)</f>
        <v>0</v>
      </c>
      <c r="P44" s="40">
        <f>VLOOKUP(D44,[1]apoio_Preços_MGS!$A$6:$AN$238,21,FALSE)</f>
        <v>0</v>
      </c>
      <c r="Q44" s="40">
        <f>VLOOKUP(D44,[1]apoio_Preços_MGS!$A$6:$AN$238,22,FALSE)</f>
        <v>0</v>
      </c>
      <c r="R44" s="40">
        <f>VLOOKUP(D44,[1]apoio_Preços_MGS!$A$6:$AN$238,23,FALSE)</f>
        <v>0</v>
      </c>
      <c r="S44" s="40">
        <f>VLOOKUP(D44,[1]apoio_Preços_MGS!$A$6:$AN$238,24,FALSE)</f>
        <v>0</v>
      </c>
      <c r="T44" s="40">
        <f>VLOOKUP(D44,[1]apoio_Preços_MGS!$A$6:$AN$238,25,FALSE)</f>
        <v>0</v>
      </c>
      <c r="U44" s="40">
        <f t="shared" si="3"/>
        <v>12213.619589977079</v>
      </c>
      <c r="V44" s="41">
        <f>VLOOKUP(D44,[1]apoio_Preços_MGS!$A$6:$AN$238,27,FALSE)</f>
        <v>0.81799999999999995</v>
      </c>
      <c r="W44" s="40">
        <f t="shared" si="4"/>
        <v>9990.740824601251</v>
      </c>
      <c r="X44" s="40">
        <f>VLOOKUP(D44,[1]apoio_Preços_MGS!$A$6:$AN$238,29,FALSE)</f>
        <v>0</v>
      </c>
      <c r="Y44" s="40">
        <f>VLOOKUP(D44,[1]apoio_Preços_MGS!$A$6:$AN$238,30,FALSE)</f>
        <v>7.5437862378295595</v>
      </c>
      <c r="Z44" s="40">
        <f t="shared" si="5"/>
        <v>7.5437862378295595</v>
      </c>
      <c r="AA44" s="40">
        <f>VLOOKUP(D44,[1]apoio_Preços_MGS!$A$6:$AN$238,32,FALSE)</f>
        <v>9.6</v>
      </c>
      <c r="AB44" s="40">
        <f>VLOOKUP(D44,[1]apoio_Preços_MGS!$A$6:$AN$238,33,FALSE)</f>
        <v>0.73920863309352747</v>
      </c>
      <c r="AC44" s="41">
        <f>VLOOKUP(D44,[1]apoio_Preços_MGS!$A$6:$AN$238,34,FALSE)</f>
        <v>0</v>
      </c>
      <c r="AD44" s="40">
        <f>(U44+W44+Z44+AB44+AA44+VLOOKUP(C44,[1]apoio_Prec_Folha!$A:$S,7,FALSE))*AC44</f>
        <v>0</v>
      </c>
      <c r="AE44" s="42">
        <f>VLOOKUP(D44,[1]apoio_Preços_MGS!$A$6:$AN$238,36,FALSE)</f>
        <v>7.0000000000000007E-2</v>
      </c>
      <c r="AF44" s="40">
        <f>(U44+W44+Z44+AB44+AD44+AA44+VLOOKUP(C44,[1]apoio_Prec_Folha!$A:$S,7,FALSE))*AE44</f>
        <v>1591.3340789492179</v>
      </c>
      <c r="AG44" s="40">
        <f t="shared" si="6"/>
        <v>23813.57</v>
      </c>
      <c r="AH44" s="43">
        <f t="shared" si="7"/>
        <v>27770.9</v>
      </c>
      <c r="AI44" s="43">
        <f t="shared" si="8"/>
        <v>111083.6</v>
      </c>
      <c r="AJ44" s="43">
        <f t="shared" si="9"/>
        <v>6220681.6000000006</v>
      </c>
      <c r="AK44" s="44">
        <f>VLOOKUP(D44,[1]apoio_Preços_MGS!$A$6:$AN$238,39,FALSE)</f>
        <v>181.81818181818184</v>
      </c>
      <c r="AL44" s="44">
        <f>IF(J44="demais municípios",VLOOKUP(D44,[1]apoio_Preços_MGS!$A$6:$AN$238,39,FALSE),0)</f>
        <v>181.81818181818184</v>
      </c>
      <c r="AM44" s="44">
        <v>0</v>
      </c>
      <c r="AN44" s="45">
        <f t="shared" si="22"/>
        <v>727.27272727272737</v>
      </c>
      <c r="AO44" s="44">
        <f>VLOOKUP(D44,[1]apoio_Preços_MGS!$A$6:$AN$238,40,FALSE)</f>
        <v>511.1</v>
      </c>
      <c r="AP44" s="44">
        <f>IF(J44="demais municípios",VLOOKUP(D44,[1]apoio_Preços_MGS!$A$6:$AN$238,40,FALSE),0)</f>
        <v>511.1</v>
      </c>
      <c r="AQ44" s="44">
        <v>0</v>
      </c>
      <c r="AR44" s="45">
        <f t="shared" si="23"/>
        <v>2044.4</v>
      </c>
      <c r="AS44" s="45">
        <f t="shared" si="10"/>
        <v>2771.6727272727276</v>
      </c>
      <c r="AT44" s="45">
        <f t="shared" si="13"/>
        <v>166300.36363636365</v>
      </c>
      <c r="AU44" s="62"/>
      <c r="AV44" s="46"/>
      <c r="AW44" s="47"/>
      <c r="AX44" s="48"/>
      <c r="AY44" s="49"/>
      <c r="BA44" s="48"/>
    </row>
    <row r="45" spans="1:53" ht="19.5" customHeight="1" x14ac:dyDescent="0.25">
      <c r="A45" s="33" t="str">
        <f t="shared" si="0"/>
        <v>106399400,05</v>
      </c>
      <c r="B45" s="33" t="str">
        <f t="shared" si="1"/>
        <v>3260,05</v>
      </c>
      <c r="C45" s="34" t="str">
        <f>VLOOKUP(D45,[1]apoio_Preços_MGS!$A$6:$B$238,2,FALSE)</f>
        <v>ANALISTA ESPECIALIZADO EM INFRAESTRUTURA</v>
      </c>
      <c r="D45" s="35">
        <v>326</v>
      </c>
      <c r="E45" s="33" t="str">
        <f>VLOOKUP(D45,[1]apoio_Preços_MGS!$A$6:$F$238,6,FALSE)</f>
        <v>ANALISTA ESPECIALIZADO EM INFRAESTRUTURA - DIARISTA DIURNO - 40H</v>
      </c>
      <c r="F45" s="36">
        <f>IFERROR(VLOOKUP(D45,'[1]apoio_cód catmas'!$B$2:$C$863,2,FALSE),0)</f>
        <v>106399</v>
      </c>
      <c r="G45" s="33" t="str">
        <f>IF(H45="N/A",VLOOKUP(F45&amp;40,'[1]apoio_cód catmas'!$A$1:$G$233,4,FALSE),VLOOKUP(F45&amp;H45,'[1]apoio_cód catmas'!$A$1:$G$233,4,FALSE))</f>
        <v>ANALISTA  ESPECIALIZADO  EM INFRAESTRUTURA - 30H, 36H, 40H  OU 44H</v>
      </c>
      <c r="H45" s="36">
        <v>40</v>
      </c>
      <c r="I45" s="37">
        <v>0.05</v>
      </c>
      <c r="J45" s="38" t="s">
        <v>46</v>
      </c>
      <c r="K45" s="39">
        <f>356-K46</f>
        <v>15</v>
      </c>
      <c r="L45" s="39">
        <f t="shared" si="2"/>
        <v>900</v>
      </c>
      <c r="M45" s="40">
        <f>VLOOKUP(D45,[1]apoio_Preços_MGS!$A$6:$AN$238,18,FALSE)</f>
        <v>12213.619589977079</v>
      </c>
      <c r="N45" s="40">
        <f>VLOOKUP(D45,[1]apoio_Preços_MGS!$A$6:$AN$238,19,FALSE)</f>
        <v>0</v>
      </c>
      <c r="O45" s="40">
        <f>VLOOKUP(D45,[1]apoio_Preços_MGS!$A$6:$AN$238,20,FALSE)</f>
        <v>0</v>
      </c>
      <c r="P45" s="40">
        <f>VLOOKUP(D45,[1]apoio_Preços_MGS!$A$6:$AN$238,21,FALSE)</f>
        <v>0</v>
      </c>
      <c r="Q45" s="40">
        <f>VLOOKUP(D45,[1]apoio_Preços_MGS!$A$6:$AN$238,22,FALSE)</f>
        <v>0</v>
      </c>
      <c r="R45" s="40">
        <f>VLOOKUP(D45,[1]apoio_Preços_MGS!$A$6:$AN$238,23,FALSE)</f>
        <v>0</v>
      </c>
      <c r="S45" s="40">
        <f>VLOOKUP(D45,[1]apoio_Preços_MGS!$A$6:$AN$238,24,FALSE)</f>
        <v>0</v>
      </c>
      <c r="T45" s="40">
        <f>VLOOKUP(D45,[1]apoio_Preços_MGS!$A$6:$AN$238,25,FALSE)</f>
        <v>0</v>
      </c>
      <c r="U45" s="40">
        <f t="shared" si="3"/>
        <v>12213.619589977079</v>
      </c>
      <c r="V45" s="41">
        <f>VLOOKUP(D45,[1]apoio_Preços_MGS!$A$6:$AN$238,27,FALSE)</f>
        <v>0.81799999999999995</v>
      </c>
      <c r="W45" s="40">
        <f t="shared" si="4"/>
        <v>9990.740824601251</v>
      </c>
      <c r="X45" s="40">
        <f>VLOOKUP(D45,[1]apoio_Preços_MGS!$A$6:$AN$238,29,FALSE)</f>
        <v>0</v>
      </c>
      <c r="Y45" s="40">
        <f>VLOOKUP(D45,[1]apoio_Preços_MGS!$A$6:$AN$238,30,FALSE)</f>
        <v>7.5437862378295595</v>
      </c>
      <c r="Z45" s="40">
        <f t="shared" si="5"/>
        <v>7.5437862378295595</v>
      </c>
      <c r="AA45" s="40">
        <f>VLOOKUP(D45,[1]apoio_Preços_MGS!$A$6:$AN$238,32,FALSE)</f>
        <v>9.6</v>
      </c>
      <c r="AB45" s="40">
        <f>VLOOKUP(D45,[1]apoio_Preços_MGS!$A$6:$AN$238,33,FALSE)</f>
        <v>0.73920863309352747</v>
      </c>
      <c r="AC45" s="41">
        <f>VLOOKUP(D45,[1]apoio_Preços_MGS!$A$6:$AN$238,34,FALSE)</f>
        <v>0</v>
      </c>
      <c r="AD45" s="40">
        <f>(U45+W45+Z45+AB45+AA45+VLOOKUP(C45,[1]apoio_Prec_Folha!$A:$S,7,FALSE))*AC45</f>
        <v>0</v>
      </c>
      <c r="AE45" s="42">
        <f>VLOOKUP(D45,[1]apoio_Preços_MGS!$A$6:$AN$238,36,FALSE)</f>
        <v>7.0000000000000007E-2</v>
      </c>
      <c r="AF45" s="40">
        <f>(U45+W45+Z45+AB45+AD45+AA45+VLOOKUP(C45,[1]apoio_Prec_Folha!$A:$S,7,FALSE))*AE45</f>
        <v>1591.3340789492179</v>
      </c>
      <c r="AG45" s="40">
        <f t="shared" si="6"/>
        <v>23813.57</v>
      </c>
      <c r="AH45" s="43">
        <f t="shared" si="7"/>
        <v>27770.9</v>
      </c>
      <c r="AI45" s="43">
        <f t="shared" si="8"/>
        <v>416563.5</v>
      </c>
      <c r="AJ45" s="43">
        <f t="shared" si="9"/>
        <v>24993810</v>
      </c>
      <c r="AK45" s="44">
        <f>VLOOKUP(D45,[1]apoio_Preços_MGS!$A$6:$AN$238,39,FALSE)</f>
        <v>181.81818181818184</v>
      </c>
      <c r="AL45" s="44">
        <f>IF(J45="demais municípios",VLOOKUP(D45,[1]apoio_Preços_MGS!$A$6:$AN$238,39,FALSE),0)</f>
        <v>181.81818181818184</v>
      </c>
      <c r="AM45" s="44">
        <v>0</v>
      </c>
      <c r="AN45" s="45">
        <f t="shared" si="22"/>
        <v>2727.2727272727275</v>
      </c>
      <c r="AO45" s="44">
        <f>VLOOKUP(D45,[1]apoio_Preços_MGS!$A$6:$AN$238,40,FALSE)</f>
        <v>511.1</v>
      </c>
      <c r="AP45" s="44">
        <f>IF(J45="demais municípios",VLOOKUP(D45,[1]apoio_Preços_MGS!$A$6:$AN$238,40,FALSE),0)</f>
        <v>511.1</v>
      </c>
      <c r="AQ45" s="44">
        <v>0</v>
      </c>
      <c r="AR45" s="45">
        <f t="shared" si="23"/>
        <v>7666.5</v>
      </c>
      <c r="AS45" s="45">
        <f t="shared" si="10"/>
        <v>10393.772727272728</v>
      </c>
      <c r="AT45" s="45">
        <f t="shared" si="13"/>
        <v>623626.36363636365</v>
      </c>
      <c r="AU45" s="62"/>
      <c r="AV45" s="46"/>
      <c r="AW45" s="47"/>
      <c r="AX45" s="48"/>
      <c r="AY45" s="49"/>
      <c r="BA45" s="48"/>
    </row>
    <row r="46" spans="1:53" ht="19.5" customHeight="1" x14ac:dyDescent="0.25">
      <c r="A46" s="33" t="str">
        <f t="shared" si="0"/>
        <v>106399400,05</v>
      </c>
      <c r="B46" s="33" t="str">
        <f t="shared" si="1"/>
        <v>3260,05</v>
      </c>
      <c r="C46" s="34" t="str">
        <f>VLOOKUP(D46,[1]apoio_Preços_MGS!$A$6:$B$238,2,FALSE)</f>
        <v>ANALISTA ESPECIALIZADO EM INFRAESTRUTURA</v>
      </c>
      <c r="D46" s="35">
        <v>326</v>
      </c>
      <c r="E46" s="33" t="str">
        <f>VLOOKUP(D46,[1]apoio_Preços_MGS!$A$6:$F$238,6,FALSE)</f>
        <v>ANALISTA ESPECIALIZADO EM INFRAESTRUTURA - DIARISTA DIURNO - 40H</v>
      </c>
      <c r="F46" s="36">
        <f>IFERROR(VLOOKUP(D46,'[1]apoio_cód catmas'!$B$2:$C$863,2,FALSE),0)</f>
        <v>106399</v>
      </c>
      <c r="G46" s="33" t="str">
        <f>IF(H46="N/A",VLOOKUP(F46&amp;40,'[1]apoio_cód catmas'!$A$1:$G$233,4,FALSE),VLOOKUP(F46&amp;H46,'[1]apoio_cód catmas'!$A$1:$G$233,4,FALSE))</f>
        <v>ANALISTA  ESPECIALIZADO  EM INFRAESTRUTURA - 30H, 36H, 40H  OU 44H</v>
      </c>
      <c r="H46" s="36">
        <v>40</v>
      </c>
      <c r="I46" s="37">
        <v>0.05</v>
      </c>
      <c r="J46" s="38" t="s">
        <v>47</v>
      </c>
      <c r="K46" s="39">
        <v>341</v>
      </c>
      <c r="L46" s="39">
        <f t="shared" si="2"/>
        <v>20460</v>
      </c>
      <c r="M46" s="40">
        <f>VLOOKUP(D46,[1]apoio_Preços_MGS!$A$6:$AN$238,18,FALSE)</f>
        <v>12213.619589977079</v>
      </c>
      <c r="N46" s="40">
        <f>VLOOKUP(D46,[1]apoio_Preços_MGS!$A$6:$AN$238,19,FALSE)</f>
        <v>0</v>
      </c>
      <c r="O46" s="40">
        <f>VLOOKUP(D46,[1]apoio_Preços_MGS!$A$6:$AN$238,20,FALSE)</f>
        <v>0</v>
      </c>
      <c r="P46" s="40">
        <f>VLOOKUP(D46,[1]apoio_Preços_MGS!$A$6:$AN$238,21,FALSE)</f>
        <v>0</v>
      </c>
      <c r="Q46" s="40">
        <f>VLOOKUP(D46,[1]apoio_Preços_MGS!$A$6:$AN$238,22,FALSE)</f>
        <v>0</v>
      </c>
      <c r="R46" s="40">
        <f>VLOOKUP(D46,[1]apoio_Preços_MGS!$A$6:$AN$238,23,FALSE)</f>
        <v>0</v>
      </c>
      <c r="S46" s="40">
        <f>VLOOKUP(D46,[1]apoio_Preços_MGS!$A$6:$AN$238,24,FALSE)</f>
        <v>0</v>
      </c>
      <c r="T46" s="40">
        <f>VLOOKUP(D46,[1]apoio_Preços_MGS!$A$6:$AN$238,25,FALSE)</f>
        <v>0</v>
      </c>
      <c r="U46" s="40">
        <f t="shared" si="3"/>
        <v>12213.619589977079</v>
      </c>
      <c r="V46" s="41">
        <f>VLOOKUP(D46,[1]apoio_Preços_MGS!$A$6:$AN$238,27,FALSE)</f>
        <v>0.81799999999999995</v>
      </c>
      <c r="W46" s="40">
        <f t="shared" si="4"/>
        <v>9990.740824601251</v>
      </c>
      <c r="X46" s="40">
        <f>VLOOKUP(D46,[1]apoio_Preços_MGS!$A$6:$AN$238,29,FALSE)</f>
        <v>0</v>
      </c>
      <c r="Y46" s="40">
        <f>VLOOKUP(D46,[1]apoio_Preços_MGS!$A$6:$AN$238,30,FALSE)</f>
        <v>7.5437862378295595</v>
      </c>
      <c r="Z46" s="40">
        <f t="shared" si="5"/>
        <v>7.5437862378295595</v>
      </c>
      <c r="AA46" s="40">
        <f>VLOOKUP(D46,[1]apoio_Preços_MGS!$A$6:$AN$238,32,FALSE)</f>
        <v>9.6</v>
      </c>
      <c r="AB46" s="40">
        <f>VLOOKUP(D46,[1]apoio_Preços_MGS!$A$6:$AN$238,33,FALSE)</f>
        <v>0.73920863309352747</v>
      </c>
      <c r="AC46" s="41">
        <f>VLOOKUP(D46,[1]apoio_Preços_MGS!$A$6:$AN$238,34,FALSE)</f>
        <v>0</v>
      </c>
      <c r="AD46" s="40">
        <f>(U46+W46+Z46+AB46+AA46+VLOOKUP(C46,[1]apoio_Prec_Folha!$A:$S,7,FALSE))*AC46</f>
        <v>0</v>
      </c>
      <c r="AE46" s="42">
        <f>VLOOKUP(D46,[1]apoio_Preços_MGS!$A$6:$AN$238,36,FALSE)</f>
        <v>7.0000000000000007E-2</v>
      </c>
      <c r="AF46" s="40">
        <f>(U46+W46+Z46+AB46+AD46+AA46+VLOOKUP(C46,[1]apoio_Prec_Folha!$A:$S,7,FALSE))*AE46</f>
        <v>1591.3340789492179</v>
      </c>
      <c r="AG46" s="40">
        <f t="shared" si="6"/>
        <v>23813.57</v>
      </c>
      <c r="AH46" s="43">
        <f t="shared" si="7"/>
        <v>27770.9</v>
      </c>
      <c r="AI46" s="43">
        <f t="shared" si="8"/>
        <v>9469876.9000000004</v>
      </c>
      <c r="AJ46" s="43">
        <f t="shared" si="9"/>
        <v>568192614</v>
      </c>
      <c r="AK46" s="44">
        <f>VLOOKUP(D46,[1]apoio_Preços_MGS!$A$6:$AN$238,39,FALSE)</f>
        <v>181.81818181818184</v>
      </c>
      <c r="AL46" s="44">
        <f>IF(J46="demais municípios",VLOOKUP(D46,[1]apoio_Preços_MGS!$A$6:$AN$238,39,FALSE),0)</f>
        <v>0</v>
      </c>
      <c r="AM46" s="44">
        <v>0</v>
      </c>
      <c r="AN46" s="45">
        <f t="shared" si="14"/>
        <v>0</v>
      </c>
      <c r="AO46" s="44">
        <f>VLOOKUP(D46,[1]apoio_Preços_MGS!$A$6:$AN$238,40,FALSE)</f>
        <v>511.1</v>
      </c>
      <c r="AP46" s="44">
        <f>IF(J46="demais municípios",VLOOKUP(D46,[1]apoio_Preços_MGS!$A$6:$AN$238,40,FALSE),0)</f>
        <v>0</v>
      </c>
      <c r="AQ46" s="44">
        <f>TRUNC(ROUND(($I46)/(1-($I46)),5)*VLOOKUP(D46,[1]apoio_Preços_MGS!$A$6:$AN$238,40,FALSE)+VLOOKUP(D46,[1]apoio_Preços_MGS!$A$6:$AN$238,40,FALSE),2)</f>
        <v>537.99</v>
      </c>
      <c r="AR46" s="45">
        <f t="shared" si="15"/>
        <v>183454.59</v>
      </c>
      <c r="AS46" s="45">
        <f t="shared" si="10"/>
        <v>183454.59</v>
      </c>
      <c r="AT46" s="45">
        <f t="shared" si="13"/>
        <v>11007275.4</v>
      </c>
      <c r="AU46" s="62"/>
      <c r="AV46" s="46"/>
      <c r="AW46" s="47"/>
      <c r="AX46" s="48"/>
      <c r="AY46" s="49"/>
      <c r="BA46" s="48"/>
    </row>
    <row r="47" spans="1:53" ht="19.5" customHeight="1" x14ac:dyDescent="0.25">
      <c r="A47" s="33" t="str">
        <f t="shared" si="0"/>
        <v>106399440,05</v>
      </c>
      <c r="B47" s="33" t="str">
        <f t="shared" si="1"/>
        <v>3270,05</v>
      </c>
      <c r="C47" s="34" t="str">
        <f>VLOOKUP(D47,[1]apoio_Preços_MGS!$A$6:$B$238,2,FALSE)</f>
        <v>ANALISTA ESPECIALIZADO EM INFRAESTRUTURA</v>
      </c>
      <c r="D47" s="35">
        <v>327</v>
      </c>
      <c r="E47" s="33" t="str">
        <f>VLOOKUP(D47,[1]apoio_Preços_MGS!$A$6:$F$238,6,FALSE)</f>
        <v>ANALISTA ESPECIALIZADO EM INFRAESTRUTURA - DIARISTA DIURNO - 44H</v>
      </c>
      <c r="F47" s="36">
        <f>IFERROR(VLOOKUP(D47,'[1]apoio_cód catmas'!$B$2:$C$863,2,FALSE),0)</f>
        <v>106399</v>
      </c>
      <c r="G47" s="33" t="str">
        <f>IF(H47="N/A",VLOOKUP(F47&amp;40,'[1]apoio_cód catmas'!$A$1:$G$233,4,FALSE),VLOOKUP(F47&amp;H47,'[1]apoio_cód catmas'!$A$1:$G$233,4,FALSE))</f>
        <v>ANALISTA  ESPECIALIZADO  EM INFRAESTRUTURA - 30H, 36H, 40H  OU 44H</v>
      </c>
      <c r="H47" s="36">
        <v>44</v>
      </c>
      <c r="I47" s="37">
        <v>0.05</v>
      </c>
      <c r="J47" s="38" t="s">
        <v>47</v>
      </c>
      <c r="K47" s="39">
        <v>2</v>
      </c>
      <c r="L47" s="39">
        <f t="shared" si="2"/>
        <v>120</v>
      </c>
      <c r="M47" s="40">
        <f>VLOOKUP(D47,[1]apoio_Preços_MGS!$A$6:$AN$238,18,FALSE)</f>
        <v>12213.619589977079</v>
      </c>
      <c r="N47" s="40">
        <f>VLOOKUP(D47,[1]apoio_Preços_MGS!$A$6:$AN$238,19,FALSE)</f>
        <v>0</v>
      </c>
      <c r="O47" s="40">
        <f>VLOOKUP(D47,[1]apoio_Preços_MGS!$A$6:$AN$238,20,FALSE)</f>
        <v>0</v>
      </c>
      <c r="P47" s="40">
        <f>VLOOKUP(D47,[1]apoio_Preços_MGS!$A$6:$AN$238,21,FALSE)</f>
        <v>0</v>
      </c>
      <c r="Q47" s="40">
        <f>VLOOKUP(D47,[1]apoio_Preços_MGS!$A$6:$AN$238,22,FALSE)</f>
        <v>0</v>
      </c>
      <c r="R47" s="40">
        <f>VLOOKUP(D47,[1]apoio_Preços_MGS!$A$6:$AN$238,23,FALSE)</f>
        <v>0</v>
      </c>
      <c r="S47" s="40">
        <f>VLOOKUP(D47,[1]apoio_Preços_MGS!$A$6:$AN$238,24,FALSE)</f>
        <v>0</v>
      </c>
      <c r="T47" s="40">
        <f>VLOOKUP(D47,[1]apoio_Preços_MGS!$A$6:$AN$238,25,FALSE)</f>
        <v>0</v>
      </c>
      <c r="U47" s="40">
        <f t="shared" si="3"/>
        <v>12213.619589977079</v>
      </c>
      <c r="V47" s="41">
        <f>VLOOKUP(D47,[1]apoio_Preços_MGS!$A$6:$AN$238,27,FALSE)</f>
        <v>0.81799999999999995</v>
      </c>
      <c r="W47" s="40">
        <f t="shared" si="4"/>
        <v>9990.740824601251</v>
      </c>
      <c r="X47" s="40">
        <f>VLOOKUP(D47,[1]apoio_Preços_MGS!$A$6:$AN$238,29,FALSE)</f>
        <v>0</v>
      </c>
      <c r="Y47" s="40">
        <f>VLOOKUP(D47,[1]apoio_Preços_MGS!$A$6:$AN$238,30,FALSE)</f>
        <v>7.5437862378295595</v>
      </c>
      <c r="Z47" s="40">
        <f t="shared" si="5"/>
        <v>7.5437862378295595</v>
      </c>
      <c r="AA47" s="40">
        <f>VLOOKUP(D47,[1]apoio_Preços_MGS!$A$6:$AN$238,32,FALSE)</f>
        <v>9.6</v>
      </c>
      <c r="AB47" s="40">
        <f>VLOOKUP(D47,[1]apoio_Preços_MGS!$A$6:$AN$238,33,FALSE)</f>
        <v>1.0683453237412266E-2</v>
      </c>
      <c r="AC47" s="41">
        <f>VLOOKUP(D47,[1]apoio_Preços_MGS!$A$6:$AN$238,34,FALSE)</f>
        <v>0</v>
      </c>
      <c r="AD47" s="40">
        <f>(U47+W47+Z47+AB47+AA47+VLOOKUP(C47,[1]apoio_Prec_Folha!$A:$S,7,FALSE))*AC47</f>
        <v>0</v>
      </c>
      <c r="AE47" s="42">
        <f>VLOOKUP(D47,[1]apoio_Preços_MGS!$A$6:$AN$238,36,FALSE)</f>
        <v>7.0000000000000007E-2</v>
      </c>
      <c r="AF47" s="40">
        <f>(U47+W47+Z47+AB47+AD47+AA47+VLOOKUP(C47,[1]apoio_Prec_Folha!$A:$S,7,FALSE))*AE47</f>
        <v>1591.2830821866278</v>
      </c>
      <c r="AG47" s="40">
        <f t="shared" si="6"/>
        <v>23812.79</v>
      </c>
      <c r="AH47" s="43">
        <f t="shared" si="7"/>
        <v>27769.99</v>
      </c>
      <c r="AI47" s="43">
        <f t="shared" si="8"/>
        <v>55539.98</v>
      </c>
      <c r="AJ47" s="43">
        <f t="shared" si="9"/>
        <v>3332398.8000000003</v>
      </c>
      <c r="AK47" s="44">
        <f>VLOOKUP(D47,[1]apoio_Preços_MGS!$A$6:$AN$238,39,FALSE)</f>
        <v>200.00000000000003</v>
      </c>
      <c r="AL47" s="44">
        <f>IF(J47="demais municípios",VLOOKUP(D47,[1]apoio_Preços_MGS!$A$6:$AN$238,39,FALSE),0)</f>
        <v>0</v>
      </c>
      <c r="AM47" s="44">
        <v>0</v>
      </c>
      <c r="AN47" s="45">
        <f t="shared" si="14"/>
        <v>0</v>
      </c>
      <c r="AO47" s="44">
        <f>VLOOKUP(D47,[1]apoio_Preços_MGS!$A$6:$AN$238,40,FALSE)</f>
        <v>511.1</v>
      </c>
      <c r="AP47" s="44">
        <f>IF(J47="demais municípios",VLOOKUP(D47,[1]apoio_Preços_MGS!$A$6:$AN$238,40,FALSE),0)</f>
        <v>0</v>
      </c>
      <c r="AQ47" s="44">
        <f>TRUNC(ROUND(($I47)/(1-($I47)),5)*VLOOKUP(D47,[1]apoio_Preços_MGS!$A$6:$AN$238,40,FALSE)+VLOOKUP(D47,[1]apoio_Preços_MGS!$A$6:$AN$238,40,FALSE),2)</f>
        <v>537.99</v>
      </c>
      <c r="AR47" s="45">
        <f t="shared" si="15"/>
        <v>1075.98</v>
      </c>
      <c r="AS47" s="45">
        <f t="shared" si="10"/>
        <v>1075.98</v>
      </c>
      <c r="AT47" s="45">
        <f t="shared" si="13"/>
        <v>64558.8</v>
      </c>
      <c r="AU47" s="62"/>
      <c r="AV47" s="46"/>
      <c r="AW47" s="47"/>
      <c r="AX47" s="48"/>
      <c r="AY47" s="49"/>
      <c r="BA47" s="48"/>
    </row>
    <row r="48" spans="1:53" ht="19.5" customHeight="1" x14ac:dyDescent="0.25">
      <c r="A48" s="33" t="str">
        <f t="shared" si="0"/>
        <v>106402440,05</v>
      </c>
      <c r="B48" s="33" t="str">
        <f t="shared" si="1"/>
        <v>4090,05</v>
      </c>
      <c r="C48" s="34" t="str">
        <f>VLOOKUP(D48,[1]apoio_Preços_MGS!$A$6:$B$238,2,FALSE)</f>
        <v>ANALISTA ESPECIALIZADO EM CIÊNCIAS EXATAS E DA TERRA I</v>
      </c>
      <c r="D48" s="35">
        <v>409</v>
      </c>
      <c r="E48" s="33" t="str">
        <f>VLOOKUP(D48,[1]apoio_Preços_MGS!$A$6:$F$238,6,FALSE)</f>
        <v>ANALISTA ESPECIALIZADO EM CIÊNCIAS EXATAS E DA TERRA I (EXCLUSIVO SEJUSP) - 12x36 DIURNO - 44H</v>
      </c>
      <c r="F48" s="36">
        <f>IFERROR(VLOOKUP(D48,'[1]apoio_cód catmas'!$B$2:$C$863,2,FALSE),0)</f>
        <v>106402</v>
      </c>
      <c r="G48" s="33" t="str">
        <f>IF(H48="N/A",VLOOKUP(F48&amp;40,'[1]apoio_cód catmas'!$A$1:$G$233,4,FALSE),VLOOKUP(F48&amp;H48,'[1]apoio_cód catmas'!$A$1:$G$233,4,FALSE))</f>
        <v>ANALISTA ESPECIALIZADO EM CIENCIAS EXATAS E DA TERRA I -    12X36 DIURNO - (EXCLUSIVO SEJUSP) - 44H</v>
      </c>
      <c r="H48" s="36">
        <v>44</v>
      </c>
      <c r="I48" s="37">
        <v>0.05</v>
      </c>
      <c r="J48" s="38" t="s">
        <v>47</v>
      </c>
      <c r="K48" s="39">
        <v>6</v>
      </c>
      <c r="L48" s="39">
        <f t="shared" si="2"/>
        <v>360</v>
      </c>
      <c r="M48" s="40">
        <f>VLOOKUP(D48,[1]apoio_Preços_MGS!$A$6:$AN$238,18,FALSE)</f>
        <v>5698.5267945930245</v>
      </c>
      <c r="N48" s="40">
        <f>VLOOKUP(D48,[1]apoio_Preços_MGS!$A$6:$AN$238,19,FALSE)</f>
        <v>0</v>
      </c>
      <c r="O48" s="40">
        <f>VLOOKUP(D48,[1]apoio_Preços_MGS!$A$6:$AN$238,20,FALSE)</f>
        <v>0</v>
      </c>
      <c r="P48" s="40">
        <f>VLOOKUP(D48,[1]apoio_Preços_MGS!$A$6:$AN$238,21,FALSE)</f>
        <v>0</v>
      </c>
      <c r="Q48" s="40">
        <f>VLOOKUP(D48,[1]apoio_Preços_MGS!$A$6:$AN$238,22,FALSE)</f>
        <v>0</v>
      </c>
      <c r="R48" s="40">
        <f>VLOOKUP(D48,[1]apoio_Preços_MGS!$A$6:$AN$238,23,FALSE)</f>
        <v>0</v>
      </c>
      <c r="S48" s="40">
        <f>VLOOKUP(D48,[1]apoio_Preços_MGS!$A$6:$AN$238,24,FALSE)</f>
        <v>0</v>
      </c>
      <c r="T48" s="40">
        <f>VLOOKUP(D48,[1]apoio_Preços_MGS!$A$6:$AN$238,25,FALSE)</f>
        <v>7.9146205480458676</v>
      </c>
      <c r="U48" s="40">
        <f t="shared" si="3"/>
        <v>5706.4414151410701</v>
      </c>
      <c r="V48" s="41">
        <f>VLOOKUP(D48,[1]apoio_Preços_MGS!$A$6:$AN$238,27,FALSE)</f>
        <v>0.81799999999999995</v>
      </c>
      <c r="W48" s="40">
        <f t="shared" si="4"/>
        <v>4667.8690775853947</v>
      </c>
      <c r="X48" s="40">
        <f>VLOOKUP(D48,[1]apoio_Preços_MGS!$A$6:$AN$238,29,FALSE)</f>
        <v>0</v>
      </c>
      <c r="Y48" s="40">
        <f>VLOOKUP(D48,[1]apoio_Preços_MGS!$A$6:$AN$238,30,FALSE)</f>
        <v>0</v>
      </c>
      <c r="Z48" s="40">
        <f t="shared" si="5"/>
        <v>0</v>
      </c>
      <c r="AA48" s="40">
        <f>VLOOKUP(D48,[1]apoio_Preços_MGS!$A$6:$AN$238,32,FALSE)</f>
        <v>9.6</v>
      </c>
      <c r="AB48" s="40">
        <f>VLOOKUP(D48,[1]apoio_Preços_MGS!$A$6:$AN$238,33,FALSE)</f>
        <v>42.051344186046478</v>
      </c>
      <c r="AC48" s="41">
        <f>VLOOKUP(D48,[1]apoio_Preços_MGS!$A$6:$AN$238,34,FALSE)</f>
        <v>0</v>
      </c>
      <c r="AD48" s="40">
        <f>(U48+W48+Z48+AB48+AA48+VLOOKUP(C48,[1]apoio_Prec_Folha!$A:$S,7,FALSE))*AC48</f>
        <v>0</v>
      </c>
      <c r="AE48" s="42">
        <f>VLOOKUP(D48,[1]apoio_Preços_MGS!$A$6:$AN$238,36,FALSE)</f>
        <v>7.0000000000000007E-2</v>
      </c>
      <c r="AF48" s="40">
        <f>(U48+W48+Z48+AB48+AD48+AA48+VLOOKUP(C48,[1]apoio_Prec_Folha!$A:$S,7,FALSE))*AE48</f>
        <v>767.76047044434097</v>
      </c>
      <c r="AG48" s="40">
        <f t="shared" si="6"/>
        <v>11193.72</v>
      </c>
      <c r="AH48" s="43">
        <f t="shared" si="7"/>
        <v>13053.89</v>
      </c>
      <c r="AI48" s="43">
        <f t="shared" si="8"/>
        <v>78323.34</v>
      </c>
      <c r="AJ48" s="43">
        <f t="shared" si="9"/>
        <v>4699400.3999999994</v>
      </c>
      <c r="AK48" s="44">
        <f>VLOOKUP(D48,[1]apoio_Preços_MGS!$A$6:$AN$238,39,FALSE)</f>
        <v>200.00000000000003</v>
      </c>
      <c r="AL48" s="44">
        <f>IF(J48="demais municípios",VLOOKUP(D48,[1]apoio_Preços_MGS!$A$6:$AN$238,39,FALSE),0)</f>
        <v>0</v>
      </c>
      <c r="AM48" s="44">
        <v>0</v>
      </c>
      <c r="AN48" s="45">
        <f t="shared" si="14"/>
        <v>0</v>
      </c>
      <c r="AO48" s="44">
        <f>VLOOKUP(D48,[1]apoio_Preços_MGS!$A$6:$AN$238,40,FALSE)</f>
        <v>542.04</v>
      </c>
      <c r="AP48" s="44">
        <f>IF(J48="demais municípios",VLOOKUP(D48,[1]apoio_Preços_MGS!$A$6:$AN$238,40,FALSE),0)</f>
        <v>0</v>
      </c>
      <c r="AQ48" s="44">
        <f>TRUNC(ROUND(($I48)/(1-($I48)),5)*VLOOKUP(D48,[1]apoio_Preços_MGS!$A$6:$AN$238,40,FALSE)+VLOOKUP(D48,[1]apoio_Preços_MGS!$A$6:$AN$238,40,FALSE),2)</f>
        <v>570.55999999999995</v>
      </c>
      <c r="AR48" s="45">
        <f t="shared" si="15"/>
        <v>3423.3599999999997</v>
      </c>
      <c r="AS48" s="45">
        <f t="shared" si="10"/>
        <v>3423.3599999999997</v>
      </c>
      <c r="AT48" s="45">
        <f t="shared" si="13"/>
        <v>205401.59999999998</v>
      </c>
      <c r="AU48" s="62"/>
      <c r="AV48" s="46"/>
      <c r="AW48" s="47"/>
      <c r="AX48" s="48"/>
      <c r="AY48" s="49"/>
      <c r="BA48" s="48"/>
    </row>
    <row r="49" spans="1:53" ht="19.5" customHeight="1" x14ac:dyDescent="0.25">
      <c r="A49" s="33" t="str">
        <f t="shared" si="0"/>
        <v>106410440,05</v>
      </c>
      <c r="B49" s="33" t="str">
        <f t="shared" si="1"/>
        <v>4100,05</v>
      </c>
      <c r="C49" s="34" t="str">
        <f>VLOOKUP(D49,[1]apoio_Preços_MGS!$A$6:$B$238,2,FALSE)</f>
        <v>ANALISTA ESPECIALIZADO EM CIÊNCIAS EXATAS E DA TERRA I</v>
      </c>
      <c r="D49" s="35">
        <v>410</v>
      </c>
      <c r="E49" s="33" t="str">
        <f>VLOOKUP(D49,[1]apoio_Preços_MGS!$A$6:$F$238,6,FALSE)</f>
        <v>ANALISTA ESPECIALIZADO EM CIÊNCIAS EXATAS E DA TERRA I (EXCLUSIVO SEJUSP) - 12x36 NOTURNO - 44H</v>
      </c>
      <c r="F49" s="36">
        <f>IFERROR(VLOOKUP(D49,'[1]apoio_cód catmas'!$B$2:$C$863,2,FALSE),0)</f>
        <v>106410</v>
      </c>
      <c r="G49" s="33" t="str">
        <f>IF(H49="N/A",VLOOKUP(F49&amp;40,'[1]apoio_cód catmas'!$A$1:$G$233,4,FALSE),VLOOKUP(F49&amp;H49,'[1]apoio_cód catmas'!$A$1:$G$233,4,FALSE))</f>
        <v>ANALISTA ESPECIALIZADO EM CIENCIAS EXATAS E DA TERRA I - 12X36 NOTURNO - (EXCLUSIVO SEJUSP) - 44H</v>
      </c>
      <c r="H49" s="36">
        <v>44</v>
      </c>
      <c r="I49" s="37">
        <v>0.05</v>
      </c>
      <c r="J49" s="38" t="s">
        <v>47</v>
      </c>
      <c r="K49" s="39">
        <v>5</v>
      </c>
      <c r="L49" s="39">
        <f t="shared" si="2"/>
        <v>300</v>
      </c>
      <c r="M49" s="40">
        <f>VLOOKUP(D49,[1]apoio_Preços_MGS!$A$6:$AN$238,18,FALSE)</f>
        <v>5698.5267945930245</v>
      </c>
      <c r="N49" s="40">
        <f>VLOOKUP(D49,[1]apoio_Preços_MGS!$A$6:$AN$238,19,FALSE)</f>
        <v>0</v>
      </c>
      <c r="O49" s="40">
        <f>VLOOKUP(D49,[1]apoio_Preços_MGS!$A$6:$AN$238,20,FALSE)</f>
        <v>1327.5257139284856</v>
      </c>
      <c r="P49" s="40">
        <f>VLOOKUP(D49,[1]apoio_Preços_MGS!$A$6:$AN$238,21,FALSE)</f>
        <v>28.977848211524666</v>
      </c>
      <c r="Q49" s="40">
        <f>VLOOKUP(D49,[1]apoio_Preços_MGS!$A$6:$AN$238,22,FALSE)</f>
        <v>108.66689819313825</v>
      </c>
      <c r="R49" s="40">
        <f>VLOOKUP(D49,[1]apoio_Preços_MGS!$A$6:$AN$238,23,FALSE)</f>
        <v>0</v>
      </c>
      <c r="S49" s="40">
        <f>VLOOKUP(D49,[1]apoio_Preços_MGS!$A$6:$AN$238,24,FALSE)</f>
        <v>0</v>
      </c>
      <c r="T49" s="40">
        <f>VLOOKUP(D49,[1]apoio_Preços_MGS!$A$6:$AN$238,25,FALSE)</f>
        <v>7.9146205480458676</v>
      </c>
      <c r="U49" s="40">
        <f t="shared" si="3"/>
        <v>7171.6118754742183</v>
      </c>
      <c r="V49" s="41">
        <f>VLOOKUP(D49,[1]apoio_Preços_MGS!$A$6:$AN$238,27,FALSE)</f>
        <v>0.81799999999999995</v>
      </c>
      <c r="W49" s="40">
        <f t="shared" si="4"/>
        <v>5866.3785141379103</v>
      </c>
      <c r="X49" s="40">
        <f>VLOOKUP(D49,[1]apoio_Preços_MGS!$A$6:$AN$238,29,FALSE)</f>
        <v>0</v>
      </c>
      <c r="Y49" s="40">
        <f>VLOOKUP(D49,[1]apoio_Preços_MGS!$A$6:$AN$238,30,FALSE)</f>
        <v>0</v>
      </c>
      <c r="Z49" s="40">
        <f t="shared" si="5"/>
        <v>0</v>
      </c>
      <c r="AA49" s="40">
        <f>VLOOKUP(D49,[1]apoio_Preços_MGS!$A$6:$AN$238,32,FALSE)</f>
        <v>9.6</v>
      </c>
      <c r="AB49" s="40">
        <f>VLOOKUP(D49,[1]apoio_Preços_MGS!$A$6:$AN$238,33,FALSE)</f>
        <v>42.051344186046478</v>
      </c>
      <c r="AC49" s="41">
        <f>VLOOKUP(D49,[1]apoio_Preços_MGS!$A$6:$AN$238,34,FALSE)</f>
        <v>0</v>
      </c>
      <c r="AD49" s="40">
        <f>(U49+W49+Z49+AB49+AA49+VLOOKUP(C49,[1]apoio_Prec_Folha!$A:$S,7,FALSE))*AC49</f>
        <v>0</v>
      </c>
      <c r="AE49" s="42">
        <f>VLOOKUP(D49,[1]apoio_Preços_MGS!$A$6:$AN$238,36,FALSE)</f>
        <v>7.0000000000000007E-2</v>
      </c>
      <c r="AF49" s="40">
        <f>(U49+W49+Z49+AB49+AD49+AA49+VLOOKUP(C49,[1]apoio_Prec_Folha!$A:$S,7,FALSE))*AE49</f>
        <v>954.21806322633745</v>
      </c>
      <c r="AG49" s="40">
        <f t="shared" si="6"/>
        <v>14043.85</v>
      </c>
      <c r="AH49" s="43">
        <f t="shared" si="7"/>
        <v>16377.65</v>
      </c>
      <c r="AI49" s="43">
        <f t="shared" si="8"/>
        <v>81888.25</v>
      </c>
      <c r="AJ49" s="43">
        <f t="shared" si="9"/>
        <v>4913295</v>
      </c>
      <c r="AK49" s="44">
        <f>VLOOKUP(D49,[1]apoio_Preços_MGS!$A$6:$AN$238,39,FALSE)</f>
        <v>200.00000000000003</v>
      </c>
      <c r="AL49" s="44">
        <f>IF(J49="demais municípios",VLOOKUP(D49,[1]apoio_Preços_MGS!$A$6:$AN$238,39,FALSE),0)</f>
        <v>0</v>
      </c>
      <c r="AM49" s="44">
        <v>0</v>
      </c>
      <c r="AN49" s="45">
        <f t="shared" si="14"/>
        <v>0</v>
      </c>
      <c r="AO49" s="44">
        <f>VLOOKUP(D49,[1]apoio_Preços_MGS!$A$6:$AN$238,40,FALSE)</f>
        <v>542.04</v>
      </c>
      <c r="AP49" s="44">
        <f>IF(J49="demais municípios",VLOOKUP(D49,[1]apoio_Preços_MGS!$A$6:$AN$238,40,FALSE),0)</f>
        <v>0</v>
      </c>
      <c r="AQ49" s="44">
        <f>TRUNC(ROUND(($I49)/(1-($I49)),5)*VLOOKUP(D49,[1]apoio_Preços_MGS!$A$6:$AN$238,40,FALSE)+VLOOKUP(D49,[1]apoio_Preços_MGS!$A$6:$AN$238,40,FALSE),2)</f>
        <v>570.55999999999995</v>
      </c>
      <c r="AR49" s="45">
        <f t="shared" si="15"/>
        <v>2852.7999999999997</v>
      </c>
      <c r="AS49" s="45">
        <f t="shared" si="10"/>
        <v>2852.7999999999997</v>
      </c>
      <c r="AT49" s="45">
        <f t="shared" si="13"/>
        <v>171167.99999999997</v>
      </c>
      <c r="AU49" s="62"/>
      <c r="AV49" s="46"/>
      <c r="AW49" s="47"/>
      <c r="AX49" s="48"/>
      <c r="AY49" s="49"/>
      <c r="BA49" s="48"/>
    </row>
    <row r="50" spans="1:53" ht="19.5" customHeight="1" x14ac:dyDescent="0.25">
      <c r="A50" s="33" t="str">
        <f t="shared" si="0"/>
        <v>106429400,02</v>
      </c>
      <c r="B50" s="33" t="str">
        <f t="shared" si="1"/>
        <v>3460,02</v>
      </c>
      <c r="C50" s="34" t="str">
        <f>VLOOKUP(D50,[1]apoio_Preços_MGS!$A$6:$B$238,2,FALSE)</f>
        <v>ANALISTA ESPECIALIZADO EM CIÊNCIAS EXATAS E DA TERRA I</v>
      </c>
      <c r="D50" s="35">
        <v>346</v>
      </c>
      <c r="E50" s="33" t="str">
        <f>VLOOKUP(D50,[1]apoio_Preços_MGS!$A$6:$F$238,6,FALSE)</f>
        <v>ANALISTA ESPECIALIZADO EM CIÊNCIAS EXATAS E DA TERRA I - DIARISTA DIURNO - 40H</v>
      </c>
      <c r="F50" s="36">
        <f>IFERROR(VLOOKUP(D50,'[1]apoio_cód catmas'!$B$2:$C$863,2,FALSE),0)</f>
        <v>106429</v>
      </c>
      <c r="G50" s="33" t="str">
        <f>IF(H50="N/A",VLOOKUP(F50&amp;40,'[1]apoio_cód catmas'!$A$1:$G$233,4,FALSE),VLOOKUP(F50&amp;H50,'[1]apoio_cód catmas'!$A$1:$G$233,4,FALSE))</f>
        <v>ANALISTA ESPECIALIZADO EM CIENCIAS EXATAS E DA TERRA I- 30H,36H, 40H OU 44H</v>
      </c>
      <c r="H50" s="36">
        <v>40</v>
      </c>
      <c r="I50" s="37">
        <v>0.02</v>
      </c>
      <c r="J50" s="38" t="s">
        <v>46</v>
      </c>
      <c r="K50" s="39">
        <v>11</v>
      </c>
      <c r="L50" s="39">
        <f t="shared" si="2"/>
        <v>660</v>
      </c>
      <c r="M50" s="40">
        <f>VLOOKUP(D50,[1]apoio_Preços_MGS!$A$6:$AN$238,18,FALSE)</f>
        <v>5180.4789041754766</v>
      </c>
      <c r="N50" s="40">
        <f>VLOOKUP(D50,[1]apoio_Preços_MGS!$A$6:$AN$238,19,FALSE)</f>
        <v>0</v>
      </c>
      <c r="O50" s="40">
        <f>VLOOKUP(D50,[1]apoio_Preços_MGS!$A$6:$AN$238,20,FALSE)</f>
        <v>0</v>
      </c>
      <c r="P50" s="40">
        <f>VLOOKUP(D50,[1]apoio_Preços_MGS!$A$6:$AN$238,21,FALSE)</f>
        <v>0</v>
      </c>
      <c r="Q50" s="40">
        <f>VLOOKUP(D50,[1]apoio_Preços_MGS!$A$6:$AN$238,22,FALSE)</f>
        <v>0</v>
      </c>
      <c r="R50" s="40">
        <f>VLOOKUP(D50,[1]apoio_Preços_MGS!$A$6:$AN$238,23,FALSE)</f>
        <v>0</v>
      </c>
      <c r="S50" s="40">
        <f>VLOOKUP(D50,[1]apoio_Preços_MGS!$A$6:$AN$238,24,FALSE)</f>
        <v>0</v>
      </c>
      <c r="T50" s="40">
        <f>VLOOKUP(D50,[1]apoio_Preços_MGS!$A$6:$AN$238,25,FALSE)</f>
        <v>0</v>
      </c>
      <c r="U50" s="40">
        <f t="shared" si="3"/>
        <v>5180.4789041754766</v>
      </c>
      <c r="V50" s="41">
        <f>VLOOKUP(D50,[1]apoio_Preços_MGS!$A$6:$AN$238,27,FALSE)</f>
        <v>0.81799999999999995</v>
      </c>
      <c r="W50" s="40">
        <f t="shared" si="4"/>
        <v>4237.6317436155396</v>
      </c>
      <c r="X50" s="40">
        <f>VLOOKUP(D50,[1]apoio_Preços_MGS!$A$6:$AN$238,29,FALSE)</f>
        <v>0</v>
      </c>
      <c r="Y50" s="40">
        <f>VLOOKUP(D50,[1]apoio_Preços_MGS!$A$6:$AN$238,30,FALSE)</f>
        <v>0</v>
      </c>
      <c r="Z50" s="40">
        <f t="shared" si="5"/>
        <v>0</v>
      </c>
      <c r="AA50" s="40">
        <f>VLOOKUP(D50,[1]apoio_Preços_MGS!$A$6:$AN$238,32,FALSE)</f>
        <v>9.6</v>
      </c>
      <c r="AB50" s="40">
        <f>VLOOKUP(D50,[1]apoio_Preços_MGS!$A$6:$AN$238,33,FALSE)</f>
        <v>51.755367864693412</v>
      </c>
      <c r="AC50" s="41">
        <f>VLOOKUP(D50,[1]apoio_Preços_MGS!$A$6:$AN$238,34,FALSE)</f>
        <v>0</v>
      </c>
      <c r="AD50" s="40">
        <f>(U50+W50+Z50+AB50+AA50+VLOOKUP(C50,[1]apoio_Prec_Folha!$A:$S,7,FALSE))*AC50</f>
        <v>0</v>
      </c>
      <c r="AE50" s="42">
        <f>VLOOKUP(D50,[1]apoio_Preços_MGS!$A$6:$AN$238,36,FALSE)</f>
        <v>7.0000000000000007E-2</v>
      </c>
      <c r="AF50" s="40">
        <f>(U50+W50+Z50+AB50+AD50+AA50+VLOOKUP(C50,[1]apoio_Prec_Folha!$A:$S,7,FALSE))*AE50</f>
        <v>701.50576295636483</v>
      </c>
      <c r="AG50" s="40">
        <f t="shared" si="6"/>
        <v>10180.969999999999</v>
      </c>
      <c r="AH50" s="43">
        <f t="shared" si="7"/>
        <v>11471.5</v>
      </c>
      <c r="AI50" s="43">
        <f t="shared" si="8"/>
        <v>126186.5</v>
      </c>
      <c r="AJ50" s="43">
        <f t="shared" si="9"/>
        <v>7571190</v>
      </c>
      <c r="AK50" s="44">
        <f>VLOOKUP(D50,[1]apoio_Preços_MGS!$A$6:$AN$238,39,FALSE)</f>
        <v>181.81818181818184</v>
      </c>
      <c r="AL50" s="44">
        <f>IF(J50="demais municípios",VLOOKUP(D50,[1]apoio_Preços_MGS!$A$6:$AN$238,39,FALSE),0)</f>
        <v>181.81818181818184</v>
      </c>
      <c r="AM50" s="44">
        <v>0</v>
      </c>
      <c r="AN50" s="45">
        <f t="shared" ref="AN50:AN54" si="24">AK50*K50</f>
        <v>2000.0000000000002</v>
      </c>
      <c r="AO50" s="44">
        <f>VLOOKUP(D50,[1]apoio_Preços_MGS!$A$6:$AN$238,40,FALSE)</f>
        <v>542.04</v>
      </c>
      <c r="AP50" s="44">
        <f>IF(J50="demais municípios",VLOOKUP(D50,[1]apoio_Preços_MGS!$A$6:$AN$238,40,FALSE),0)</f>
        <v>542.04</v>
      </c>
      <c r="AQ50" s="44">
        <v>0</v>
      </c>
      <c r="AR50" s="45">
        <f t="shared" ref="AR50:AR54" si="25">AO50*K50</f>
        <v>5962.44</v>
      </c>
      <c r="AS50" s="45">
        <f t="shared" si="10"/>
        <v>7962.44</v>
      </c>
      <c r="AT50" s="45">
        <f t="shared" si="13"/>
        <v>477746.39999999997</v>
      </c>
      <c r="AU50" s="62"/>
      <c r="AV50" s="46"/>
      <c r="AW50" s="47"/>
      <c r="AX50" s="48"/>
      <c r="AY50" s="49"/>
      <c r="BA50" s="48"/>
    </row>
    <row r="51" spans="1:53" ht="19.5" customHeight="1" x14ac:dyDescent="0.25">
      <c r="A51" s="33" t="str">
        <f t="shared" si="0"/>
        <v>106429400,03</v>
      </c>
      <c r="B51" s="33" t="str">
        <f t="shared" si="1"/>
        <v>3460,03</v>
      </c>
      <c r="C51" s="34" t="str">
        <f>VLOOKUP(D51,[1]apoio_Preços_MGS!$A$6:$B$238,2,FALSE)</f>
        <v>ANALISTA ESPECIALIZADO EM CIÊNCIAS EXATAS E DA TERRA I</v>
      </c>
      <c r="D51" s="35">
        <v>346</v>
      </c>
      <c r="E51" s="33" t="str">
        <f>VLOOKUP(D51,[1]apoio_Preços_MGS!$A$6:$F$238,6,FALSE)</f>
        <v>ANALISTA ESPECIALIZADO EM CIÊNCIAS EXATAS E DA TERRA I - DIARISTA DIURNO - 40H</v>
      </c>
      <c r="F51" s="36">
        <f>IFERROR(VLOOKUP(D51,'[1]apoio_cód catmas'!$B$2:$C$863,2,FALSE),0)</f>
        <v>106429</v>
      </c>
      <c r="G51" s="33" t="str">
        <f>IF(H51="N/A",VLOOKUP(F51&amp;40,'[1]apoio_cód catmas'!$A$1:$G$233,4,FALSE),VLOOKUP(F51&amp;H51,'[1]apoio_cód catmas'!$A$1:$G$233,4,FALSE))</f>
        <v>ANALISTA ESPECIALIZADO EM CIENCIAS EXATAS E DA TERRA I- 30H,36H, 40H OU 44H</v>
      </c>
      <c r="H51" s="36">
        <v>40</v>
      </c>
      <c r="I51" s="37">
        <v>0.03</v>
      </c>
      <c r="J51" s="38" t="s">
        <v>46</v>
      </c>
      <c r="K51" s="39">
        <f>29-1</f>
        <v>28</v>
      </c>
      <c r="L51" s="39">
        <f t="shared" si="2"/>
        <v>1680</v>
      </c>
      <c r="M51" s="40">
        <f>VLOOKUP(D51,[1]apoio_Preços_MGS!$A$6:$AN$238,18,FALSE)</f>
        <v>5180.4789041754766</v>
      </c>
      <c r="N51" s="40">
        <f>VLOOKUP(D51,[1]apoio_Preços_MGS!$A$6:$AN$238,19,FALSE)</f>
        <v>0</v>
      </c>
      <c r="O51" s="40">
        <f>VLOOKUP(D51,[1]apoio_Preços_MGS!$A$6:$AN$238,20,FALSE)</f>
        <v>0</v>
      </c>
      <c r="P51" s="40">
        <f>VLOOKUP(D51,[1]apoio_Preços_MGS!$A$6:$AN$238,21,FALSE)</f>
        <v>0</v>
      </c>
      <c r="Q51" s="40">
        <f>VLOOKUP(D51,[1]apoio_Preços_MGS!$A$6:$AN$238,22,FALSE)</f>
        <v>0</v>
      </c>
      <c r="R51" s="40">
        <f>VLOOKUP(D51,[1]apoio_Preços_MGS!$A$6:$AN$238,23,FALSE)</f>
        <v>0</v>
      </c>
      <c r="S51" s="40">
        <f>VLOOKUP(D51,[1]apoio_Preços_MGS!$A$6:$AN$238,24,FALSE)</f>
        <v>0</v>
      </c>
      <c r="T51" s="40">
        <f>VLOOKUP(D51,[1]apoio_Preços_MGS!$A$6:$AN$238,25,FALSE)</f>
        <v>0</v>
      </c>
      <c r="U51" s="40">
        <f t="shared" si="3"/>
        <v>5180.4789041754766</v>
      </c>
      <c r="V51" s="41">
        <f>VLOOKUP(D51,[1]apoio_Preços_MGS!$A$6:$AN$238,27,FALSE)</f>
        <v>0.81799999999999995</v>
      </c>
      <c r="W51" s="40">
        <f t="shared" si="4"/>
        <v>4237.6317436155396</v>
      </c>
      <c r="X51" s="40">
        <f>VLOOKUP(D51,[1]apoio_Preços_MGS!$A$6:$AN$238,29,FALSE)</f>
        <v>0</v>
      </c>
      <c r="Y51" s="40">
        <f>VLOOKUP(D51,[1]apoio_Preços_MGS!$A$6:$AN$238,30,FALSE)</f>
        <v>0</v>
      </c>
      <c r="Z51" s="40">
        <f t="shared" si="5"/>
        <v>0</v>
      </c>
      <c r="AA51" s="40">
        <f>VLOOKUP(D51,[1]apoio_Preços_MGS!$A$6:$AN$238,32,FALSE)</f>
        <v>9.6</v>
      </c>
      <c r="AB51" s="40">
        <f>VLOOKUP(D51,[1]apoio_Preços_MGS!$A$6:$AN$238,33,FALSE)</f>
        <v>51.755367864693412</v>
      </c>
      <c r="AC51" s="41">
        <f>VLOOKUP(D51,[1]apoio_Preços_MGS!$A$6:$AN$238,34,FALSE)</f>
        <v>0</v>
      </c>
      <c r="AD51" s="40">
        <f>(U51+W51+Z51+AB51+AA51+VLOOKUP(C51,[1]apoio_Prec_Folha!$A:$S,7,FALSE))*AC51</f>
        <v>0</v>
      </c>
      <c r="AE51" s="42">
        <f>VLOOKUP(D51,[1]apoio_Preços_MGS!$A$6:$AN$238,36,FALSE)</f>
        <v>7.0000000000000007E-2</v>
      </c>
      <c r="AF51" s="40">
        <f>(U51+W51+Z51+AB51+AD51+AA51+VLOOKUP(C51,[1]apoio_Prec_Folha!$A:$S,7,FALSE))*AE51</f>
        <v>701.50576295636483</v>
      </c>
      <c r="AG51" s="40">
        <f t="shared" si="6"/>
        <v>10180.969999999999</v>
      </c>
      <c r="AH51" s="43">
        <f t="shared" si="7"/>
        <v>11602.23</v>
      </c>
      <c r="AI51" s="43">
        <f t="shared" si="8"/>
        <v>324862.44</v>
      </c>
      <c r="AJ51" s="43">
        <f t="shared" si="9"/>
        <v>19491746.399999999</v>
      </c>
      <c r="AK51" s="44">
        <f>VLOOKUP(D51,[1]apoio_Preços_MGS!$A$6:$AN$238,39,FALSE)</f>
        <v>181.81818181818184</v>
      </c>
      <c r="AL51" s="44">
        <f>IF(J51="demais municípios",VLOOKUP(D51,[1]apoio_Preços_MGS!$A$6:$AN$238,39,FALSE),0)</f>
        <v>181.81818181818184</v>
      </c>
      <c r="AM51" s="44">
        <v>0</v>
      </c>
      <c r="AN51" s="45">
        <f t="shared" si="24"/>
        <v>5090.9090909090919</v>
      </c>
      <c r="AO51" s="44">
        <f>VLOOKUP(D51,[1]apoio_Preços_MGS!$A$6:$AN$238,40,FALSE)</f>
        <v>542.04</v>
      </c>
      <c r="AP51" s="44">
        <f>IF(J51="demais municípios",VLOOKUP(D51,[1]apoio_Preços_MGS!$A$6:$AN$238,40,FALSE),0)</f>
        <v>542.04</v>
      </c>
      <c r="AQ51" s="44">
        <v>0</v>
      </c>
      <c r="AR51" s="45">
        <f t="shared" si="25"/>
        <v>15177.119999999999</v>
      </c>
      <c r="AS51" s="45">
        <f t="shared" si="10"/>
        <v>20268.029090909091</v>
      </c>
      <c r="AT51" s="45">
        <f t="shared" si="13"/>
        <v>1216081.7454545454</v>
      </c>
      <c r="AU51" s="62"/>
      <c r="AV51" s="46"/>
      <c r="AW51" s="47"/>
      <c r="AX51" s="48"/>
      <c r="AY51" s="49"/>
      <c r="BA51" s="48"/>
    </row>
    <row r="52" spans="1:53" ht="19.5" customHeight="1" x14ac:dyDescent="0.25">
      <c r="A52" s="33" t="str">
        <f t="shared" si="0"/>
        <v>106429400,04</v>
      </c>
      <c r="B52" s="33" t="str">
        <f t="shared" si="1"/>
        <v>3460,04</v>
      </c>
      <c r="C52" s="34" t="str">
        <f>VLOOKUP(D52,[1]apoio_Preços_MGS!$A$6:$B$238,2,FALSE)</f>
        <v>ANALISTA ESPECIALIZADO EM CIÊNCIAS EXATAS E DA TERRA I</v>
      </c>
      <c r="D52" s="35">
        <v>346</v>
      </c>
      <c r="E52" s="33" t="str">
        <f>VLOOKUP(D52,[1]apoio_Preços_MGS!$A$6:$F$238,6,FALSE)</f>
        <v>ANALISTA ESPECIALIZADO EM CIÊNCIAS EXATAS E DA TERRA I - DIARISTA DIURNO - 40H</v>
      </c>
      <c r="F52" s="36">
        <f>IFERROR(VLOOKUP(D52,'[1]apoio_cód catmas'!$B$2:$C$863,2,FALSE),0)</f>
        <v>106429</v>
      </c>
      <c r="G52" s="33" t="str">
        <f>IF(H52="N/A",VLOOKUP(F52&amp;40,'[1]apoio_cód catmas'!$A$1:$G$233,4,FALSE),VLOOKUP(F52&amp;H52,'[1]apoio_cód catmas'!$A$1:$G$233,4,FALSE))</f>
        <v>ANALISTA ESPECIALIZADO EM CIENCIAS EXATAS E DA TERRA I- 30H,36H, 40H OU 44H</v>
      </c>
      <c r="H52" s="36">
        <v>40</v>
      </c>
      <c r="I52" s="37">
        <v>0.04</v>
      </c>
      <c r="J52" s="38" t="s">
        <v>46</v>
      </c>
      <c r="K52" s="39">
        <v>2</v>
      </c>
      <c r="L52" s="39">
        <f t="shared" si="2"/>
        <v>120</v>
      </c>
      <c r="M52" s="40">
        <f>VLOOKUP(D52,[1]apoio_Preços_MGS!$A$6:$AN$238,18,FALSE)</f>
        <v>5180.4789041754766</v>
      </c>
      <c r="N52" s="40">
        <f>VLOOKUP(D52,[1]apoio_Preços_MGS!$A$6:$AN$238,19,FALSE)</f>
        <v>0</v>
      </c>
      <c r="O52" s="40">
        <f>VLOOKUP(D52,[1]apoio_Preços_MGS!$A$6:$AN$238,20,FALSE)</f>
        <v>0</v>
      </c>
      <c r="P52" s="40">
        <f>VLOOKUP(D52,[1]apoio_Preços_MGS!$A$6:$AN$238,21,FALSE)</f>
        <v>0</v>
      </c>
      <c r="Q52" s="40">
        <f>VLOOKUP(D52,[1]apoio_Preços_MGS!$A$6:$AN$238,22,FALSE)</f>
        <v>0</v>
      </c>
      <c r="R52" s="40">
        <f>VLOOKUP(D52,[1]apoio_Preços_MGS!$A$6:$AN$238,23,FALSE)</f>
        <v>0</v>
      </c>
      <c r="S52" s="40">
        <f>VLOOKUP(D52,[1]apoio_Preços_MGS!$A$6:$AN$238,24,FALSE)</f>
        <v>0</v>
      </c>
      <c r="T52" s="40">
        <f>VLOOKUP(D52,[1]apoio_Preços_MGS!$A$6:$AN$238,25,FALSE)</f>
        <v>0</v>
      </c>
      <c r="U52" s="40">
        <f t="shared" si="3"/>
        <v>5180.4789041754766</v>
      </c>
      <c r="V52" s="41">
        <f>VLOOKUP(D52,[1]apoio_Preços_MGS!$A$6:$AN$238,27,FALSE)</f>
        <v>0.81799999999999995</v>
      </c>
      <c r="W52" s="40">
        <f t="shared" si="4"/>
        <v>4237.6317436155396</v>
      </c>
      <c r="X52" s="40">
        <f>VLOOKUP(D52,[1]apoio_Preços_MGS!$A$6:$AN$238,29,FALSE)</f>
        <v>0</v>
      </c>
      <c r="Y52" s="40">
        <f>VLOOKUP(D52,[1]apoio_Preços_MGS!$A$6:$AN$238,30,FALSE)</f>
        <v>0</v>
      </c>
      <c r="Z52" s="40">
        <f t="shared" si="5"/>
        <v>0</v>
      </c>
      <c r="AA52" s="40">
        <f>VLOOKUP(D52,[1]apoio_Preços_MGS!$A$6:$AN$238,32,FALSE)</f>
        <v>9.6</v>
      </c>
      <c r="AB52" s="40">
        <f>VLOOKUP(D52,[1]apoio_Preços_MGS!$A$6:$AN$238,33,FALSE)</f>
        <v>51.755367864693412</v>
      </c>
      <c r="AC52" s="41">
        <f>VLOOKUP(D52,[1]apoio_Preços_MGS!$A$6:$AN$238,34,FALSE)</f>
        <v>0</v>
      </c>
      <c r="AD52" s="40">
        <f>(U52+W52+Z52+AB52+AA52+VLOOKUP(C52,[1]apoio_Prec_Folha!$A:$S,7,FALSE))*AC52</f>
        <v>0</v>
      </c>
      <c r="AE52" s="42">
        <f>VLOOKUP(D52,[1]apoio_Preços_MGS!$A$6:$AN$238,36,FALSE)</f>
        <v>7.0000000000000007E-2</v>
      </c>
      <c r="AF52" s="40">
        <f>(U52+W52+Z52+AB52+AD52+AA52+VLOOKUP(C52,[1]apoio_Prec_Folha!$A:$S,7,FALSE))*AE52</f>
        <v>701.50576295636483</v>
      </c>
      <c r="AG52" s="40">
        <f t="shared" si="6"/>
        <v>10180.969999999999</v>
      </c>
      <c r="AH52" s="43">
        <f t="shared" si="7"/>
        <v>11736.01</v>
      </c>
      <c r="AI52" s="43">
        <f t="shared" si="8"/>
        <v>23472.02</v>
      </c>
      <c r="AJ52" s="43">
        <f t="shared" si="9"/>
        <v>1408321.2</v>
      </c>
      <c r="AK52" s="44">
        <f>VLOOKUP(D52,[1]apoio_Preços_MGS!$A$6:$AN$238,39,FALSE)</f>
        <v>181.81818181818184</v>
      </c>
      <c r="AL52" s="44">
        <f>IF(J52="demais municípios",VLOOKUP(D52,[1]apoio_Preços_MGS!$A$6:$AN$238,39,FALSE),0)</f>
        <v>181.81818181818184</v>
      </c>
      <c r="AM52" s="44">
        <v>0</v>
      </c>
      <c r="AN52" s="45">
        <f t="shared" si="24"/>
        <v>363.63636363636368</v>
      </c>
      <c r="AO52" s="44">
        <f>VLOOKUP(D52,[1]apoio_Preços_MGS!$A$6:$AN$238,40,FALSE)</f>
        <v>542.04</v>
      </c>
      <c r="AP52" s="44">
        <f>IF(J52="demais municípios",VLOOKUP(D52,[1]apoio_Preços_MGS!$A$6:$AN$238,40,FALSE),0)</f>
        <v>542.04</v>
      </c>
      <c r="AQ52" s="44">
        <v>0</v>
      </c>
      <c r="AR52" s="45">
        <f t="shared" si="25"/>
        <v>1084.08</v>
      </c>
      <c r="AS52" s="45">
        <f t="shared" si="10"/>
        <v>1447.7163636363637</v>
      </c>
      <c r="AT52" s="45">
        <f t="shared" si="13"/>
        <v>86862.981818181826</v>
      </c>
      <c r="AU52" s="62"/>
      <c r="AV52" s="46"/>
      <c r="AW52" s="47"/>
      <c r="AX52" s="48"/>
      <c r="AY52" s="49"/>
      <c r="BA52" s="48"/>
    </row>
    <row r="53" spans="1:53" ht="19.5" customHeight="1" x14ac:dyDescent="0.25">
      <c r="A53" s="33" t="str">
        <f t="shared" si="0"/>
        <v>106429400,05</v>
      </c>
      <c r="B53" s="33" t="str">
        <f t="shared" si="1"/>
        <v>3460,05</v>
      </c>
      <c r="C53" s="34" t="str">
        <f>VLOOKUP(D53,[1]apoio_Preços_MGS!$A$6:$B$238,2,FALSE)</f>
        <v>ANALISTA ESPECIALIZADO EM CIÊNCIAS EXATAS E DA TERRA I</v>
      </c>
      <c r="D53" s="35">
        <v>346</v>
      </c>
      <c r="E53" s="33" t="str">
        <f>VLOOKUP(D53,[1]apoio_Preços_MGS!$A$6:$F$238,6,FALSE)</f>
        <v>ANALISTA ESPECIALIZADO EM CIÊNCIAS EXATAS E DA TERRA I - DIARISTA DIURNO - 40H</v>
      </c>
      <c r="F53" s="36">
        <f>IFERROR(VLOOKUP(D53,'[1]apoio_cód catmas'!$B$2:$C$863,2,FALSE),0)</f>
        <v>106429</v>
      </c>
      <c r="G53" s="33" t="str">
        <f>IF(H53="N/A",VLOOKUP(F53&amp;40,'[1]apoio_cód catmas'!$A$1:$G$233,4,FALSE),VLOOKUP(F53&amp;H53,'[1]apoio_cód catmas'!$A$1:$G$233,4,FALSE))</f>
        <v>ANALISTA ESPECIALIZADO EM CIENCIAS EXATAS E DA TERRA I- 30H,36H, 40H OU 44H</v>
      </c>
      <c r="H53" s="36">
        <v>40</v>
      </c>
      <c r="I53" s="37">
        <v>0.05</v>
      </c>
      <c r="J53" s="38" t="s">
        <v>46</v>
      </c>
      <c r="K53" s="39">
        <v>1</v>
      </c>
      <c r="L53" s="39">
        <f>K53*56</f>
        <v>56</v>
      </c>
      <c r="M53" s="40">
        <f>VLOOKUP(D53,[1]apoio_Preços_MGS!$A$6:$AN$238,18,FALSE)</f>
        <v>5180.4789041754766</v>
      </c>
      <c r="N53" s="40">
        <f>VLOOKUP(D53,[1]apoio_Preços_MGS!$A$6:$AN$238,19,FALSE)</f>
        <v>0</v>
      </c>
      <c r="O53" s="40">
        <f>VLOOKUP(D53,[1]apoio_Preços_MGS!$A$6:$AN$238,20,FALSE)</f>
        <v>0</v>
      </c>
      <c r="P53" s="40">
        <f>VLOOKUP(D53,[1]apoio_Preços_MGS!$A$6:$AN$238,21,FALSE)</f>
        <v>0</v>
      </c>
      <c r="Q53" s="40">
        <f>VLOOKUP(D53,[1]apoio_Preços_MGS!$A$6:$AN$238,22,FALSE)</f>
        <v>0</v>
      </c>
      <c r="R53" s="40">
        <f>VLOOKUP(D53,[1]apoio_Preços_MGS!$A$6:$AN$238,23,FALSE)</f>
        <v>0</v>
      </c>
      <c r="S53" s="40">
        <f>VLOOKUP(D53,[1]apoio_Preços_MGS!$A$6:$AN$238,24,FALSE)</f>
        <v>0</v>
      </c>
      <c r="T53" s="40">
        <f>VLOOKUP(D53,[1]apoio_Preços_MGS!$A$6:$AN$238,25,FALSE)</f>
        <v>0</v>
      </c>
      <c r="U53" s="40">
        <f t="shared" si="3"/>
        <v>5180.4789041754766</v>
      </c>
      <c r="V53" s="41">
        <f>VLOOKUP(D53,[1]apoio_Preços_MGS!$A$6:$AN$238,27,FALSE)</f>
        <v>0.81799999999999995</v>
      </c>
      <c r="W53" s="40">
        <f t="shared" si="4"/>
        <v>4237.6317436155396</v>
      </c>
      <c r="X53" s="40">
        <f>VLOOKUP(D53,[1]apoio_Preços_MGS!$A$6:$AN$238,29,FALSE)</f>
        <v>0</v>
      </c>
      <c r="Y53" s="40">
        <f>VLOOKUP(D53,[1]apoio_Preços_MGS!$A$6:$AN$238,30,FALSE)</f>
        <v>0</v>
      </c>
      <c r="Z53" s="40">
        <f t="shared" si="5"/>
        <v>0</v>
      </c>
      <c r="AA53" s="40">
        <f>VLOOKUP(D53,[1]apoio_Preços_MGS!$A$6:$AN$238,32,FALSE)</f>
        <v>9.6</v>
      </c>
      <c r="AB53" s="40">
        <f>VLOOKUP(D53,[1]apoio_Preços_MGS!$A$6:$AN$238,33,FALSE)</f>
        <v>51.755367864693412</v>
      </c>
      <c r="AC53" s="41">
        <f>VLOOKUP(D53,[1]apoio_Preços_MGS!$A$6:$AN$238,34,FALSE)</f>
        <v>0</v>
      </c>
      <c r="AD53" s="40">
        <f>(U53+W53+Z53+AB53+AA53+VLOOKUP(C53,[1]apoio_Prec_Folha!$A:$S,7,FALSE))*AC53</f>
        <v>0</v>
      </c>
      <c r="AE53" s="42">
        <f>VLOOKUP(D53,[1]apoio_Preços_MGS!$A$6:$AN$238,36,FALSE)</f>
        <v>7.0000000000000007E-2</v>
      </c>
      <c r="AF53" s="40">
        <f>(U53+W53+Z53+AB53+AD53+AA53+VLOOKUP(C53,[1]apoio_Prec_Folha!$A:$S,7,FALSE))*AE53</f>
        <v>701.50576295636483</v>
      </c>
      <c r="AG53" s="40">
        <f t="shared" si="6"/>
        <v>10180.969999999999</v>
      </c>
      <c r="AH53" s="43">
        <f t="shared" si="7"/>
        <v>11872.84</v>
      </c>
      <c r="AI53" s="43">
        <f t="shared" si="8"/>
        <v>11872.84</v>
      </c>
      <c r="AJ53" s="43">
        <f t="shared" si="9"/>
        <v>664879.04</v>
      </c>
      <c r="AK53" s="44">
        <f>VLOOKUP(D53,[1]apoio_Preços_MGS!$A$6:$AN$238,39,FALSE)</f>
        <v>181.81818181818184</v>
      </c>
      <c r="AL53" s="44">
        <f>IF(J53="demais municípios",VLOOKUP(D53,[1]apoio_Preços_MGS!$A$6:$AN$238,39,FALSE),0)</f>
        <v>181.81818181818184</v>
      </c>
      <c r="AM53" s="44">
        <v>0</v>
      </c>
      <c r="AN53" s="45">
        <f t="shared" si="24"/>
        <v>181.81818181818184</v>
      </c>
      <c r="AO53" s="44">
        <f>VLOOKUP(D53,[1]apoio_Preços_MGS!$A$6:$AN$238,40,FALSE)</f>
        <v>542.04</v>
      </c>
      <c r="AP53" s="44">
        <f>IF(J53="demais municípios",VLOOKUP(D53,[1]apoio_Preços_MGS!$A$6:$AN$238,40,FALSE),0)</f>
        <v>542.04</v>
      </c>
      <c r="AQ53" s="44">
        <v>0</v>
      </c>
      <c r="AR53" s="45">
        <f t="shared" si="25"/>
        <v>542.04</v>
      </c>
      <c r="AS53" s="45">
        <f t="shared" si="10"/>
        <v>723.85818181818183</v>
      </c>
      <c r="AT53" s="45">
        <f t="shared" si="13"/>
        <v>43431.490909090913</v>
      </c>
      <c r="AU53" s="62"/>
      <c r="AV53" s="46"/>
      <c r="AW53" s="47"/>
      <c r="AX53" s="48"/>
      <c r="AY53" s="49"/>
      <c r="BA53" s="48"/>
    </row>
    <row r="54" spans="1:53" ht="19.5" customHeight="1" x14ac:dyDescent="0.25">
      <c r="A54" s="33" t="str">
        <f t="shared" si="0"/>
        <v>106429400,05</v>
      </c>
      <c r="B54" s="33" t="str">
        <f t="shared" si="1"/>
        <v>3460,05</v>
      </c>
      <c r="C54" s="34" t="str">
        <f>VLOOKUP(D54,[1]apoio_Preços_MGS!$A$6:$B$238,2,FALSE)</f>
        <v>ANALISTA ESPECIALIZADO EM CIÊNCIAS EXATAS E DA TERRA I</v>
      </c>
      <c r="D54" s="35">
        <v>346</v>
      </c>
      <c r="E54" s="33" t="str">
        <f>VLOOKUP(D54,[1]apoio_Preços_MGS!$A$6:$F$238,6,FALSE)</f>
        <v>ANALISTA ESPECIALIZADO EM CIÊNCIAS EXATAS E DA TERRA I - DIARISTA DIURNO - 40H</v>
      </c>
      <c r="F54" s="36">
        <f>IFERROR(VLOOKUP(D54,'[1]apoio_cód catmas'!$B$2:$C$863,2,FALSE),0)</f>
        <v>106429</v>
      </c>
      <c r="G54" s="33" t="str">
        <f>IF(H54="N/A",VLOOKUP(F54&amp;40,'[1]apoio_cód catmas'!$A$1:$G$233,4,FALSE),VLOOKUP(F54&amp;H54,'[1]apoio_cód catmas'!$A$1:$G$233,4,FALSE))</f>
        <v>ANALISTA ESPECIALIZADO EM CIENCIAS EXATAS E DA TERRA I- 30H,36H, 40H OU 44H</v>
      </c>
      <c r="H54" s="36">
        <v>40</v>
      </c>
      <c r="I54" s="37">
        <v>0.05</v>
      </c>
      <c r="J54" s="38" t="s">
        <v>46</v>
      </c>
      <c r="K54" s="39">
        <f>102-K55</f>
        <v>3</v>
      </c>
      <c r="L54" s="39">
        <f t="shared" si="2"/>
        <v>180</v>
      </c>
      <c r="M54" s="40">
        <f>VLOOKUP(D54,[1]apoio_Preços_MGS!$A$6:$AN$238,18,FALSE)</f>
        <v>5180.4789041754766</v>
      </c>
      <c r="N54" s="40">
        <f>VLOOKUP(D54,[1]apoio_Preços_MGS!$A$6:$AN$238,19,FALSE)</f>
        <v>0</v>
      </c>
      <c r="O54" s="40">
        <f>VLOOKUP(D54,[1]apoio_Preços_MGS!$A$6:$AN$238,20,FALSE)</f>
        <v>0</v>
      </c>
      <c r="P54" s="40">
        <f>VLOOKUP(D54,[1]apoio_Preços_MGS!$A$6:$AN$238,21,FALSE)</f>
        <v>0</v>
      </c>
      <c r="Q54" s="40">
        <f>VLOOKUP(D54,[1]apoio_Preços_MGS!$A$6:$AN$238,22,FALSE)</f>
        <v>0</v>
      </c>
      <c r="R54" s="40">
        <f>VLOOKUP(D54,[1]apoio_Preços_MGS!$A$6:$AN$238,23,FALSE)</f>
        <v>0</v>
      </c>
      <c r="S54" s="40">
        <f>VLOOKUP(D54,[1]apoio_Preços_MGS!$A$6:$AN$238,24,FALSE)</f>
        <v>0</v>
      </c>
      <c r="T54" s="40">
        <f>VLOOKUP(D54,[1]apoio_Preços_MGS!$A$6:$AN$238,25,FALSE)</f>
        <v>0</v>
      </c>
      <c r="U54" s="40">
        <f t="shared" si="3"/>
        <v>5180.4789041754766</v>
      </c>
      <c r="V54" s="41">
        <f>VLOOKUP(D54,[1]apoio_Preços_MGS!$A$6:$AN$238,27,FALSE)</f>
        <v>0.81799999999999995</v>
      </c>
      <c r="W54" s="40">
        <f t="shared" si="4"/>
        <v>4237.6317436155396</v>
      </c>
      <c r="X54" s="40">
        <f>VLOOKUP(D54,[1]apoio_Preços_MGS!$A$6:$AN$238,29,FALSE)</f>
        <v>0</v>
      </c>
      <c r="Y54" s="40">
        <f>VLOOKUP(D54,[1]apoio_Preços_MGS!$A$6:$AN$238,30,FALSE)</f>
        <v>0</v>
      </c>
      <c r="Z54" s="40">
        <f t="shared" si="5"/>
        <v>0</v>
      </c>
      <c r="AA54" s="40">
        <f>VLOOKUP(D54,[1]apoio_Preços_MGS!$A$6:$AN$238,32,FALSE)</f>
        <v>9.6</v>
      </c>
      <c r="AB54" s="40">
        <f>VLOOKUP(D54,[1]apoio_Preços_MGS!$A$6:$AN$238,33,FALSE)</f>
        <v>51.755367864693412</v>
      </c>
      <c r="AC54" s="41">
        <f>VLOOKUP(D54,[1]apoio_Preços_MGS!$A$6:$AN$238,34,FALSE)</f>
        <v>0</v>
      </c>
      <c r="AD54" s="40">
        <f>(U54+W54+Z54+AB54+AA54+VLOOKUP(C54,[1]apoio_Prec_Folha!$A:$S,7,FALSE))*AC54</f>
        <v>0</v>
      </c>
      <c r="AE54" s="42">
        <f>VLOOKUP(D54,[1]apoio_Preços_MGS!$A$6:$AN$238,36,FALSE)</f>
        <v>7.0000000000000007E-2</v>
      </c>
      <c r="AF54" s="40">
        <f>(U54+W54+Z54+AB54+AD54+AA54+VLOOKUP(C54,[1]apoio_Prec_Folha!$A:$S,7,FALSE))*AE54</f>
        <v>701.50576295636483</v>
      </c>
      <c r="AG54" s="40">
        <f t="shared" si="6"/>
        <v>10180.969999999999</v>
      </c>
      <c r="AH54" s="43">
        <f t="shared" si="7"/>
        <v>11872.84</v>
      </c>
      <c r="AI54" s="43">
        <f t="shared" si="8"/>
        <v>35618.520000000004</v>
      </c>
      <c r="AJ54" s="43">
        <f t="shared" si="9"/>
        <v>2137111.2000000002</v>
      </c>
      <c r="AK54" s="44">
        <f>VLOOKUP(D54,[1]apoio_Preços_MGS!$A$6:$AN$238,39,FALSE)</f>
        <v>181.81818181818184</v>
      </c>
      <c r="AL54" s="44">
        <f>IF(J54="demais municípios",VLOOKUP(D54,[1]apoio_Preços_MGS!$A$6:$AN$238,39,FALSE),0)</f>
        <v>181.81818181818184</v>
      </c>
      <c r="AM54" s="44">
        <v>0</v>
      </c>
      <c r="AN54" s="45">
        <f t="shared" si="24"/>
        <v>545.4545454545455</v>
      </c>
      <c r="AO54" s="44">
        <f>VLOOKUP(D54,[1]apoio_Preços_MGS!$A$6:$AN$238,40,FALSE)</f>
        <v>542.04</v>
      </c>
      <c r="AP54" s="44">
        <f>IF(J54="demais municípios",VLOOKUP(D54,[1]apoio_Preços_MGS!$A$6:$AN$238,40,FALSE),0)</f>
        <v>542.04</v>
      </c>
      <c r="AQ54" s="44">
        <v>0</v>
      </c>
      <c r="AR54" s="45">
        <f t="shared" si="25"/>
        <v>1626.12</v>
      </c>
      <c r="AS54" s="45">
        <f t="shared" si="10"/>
        <v>2171.5745454545454</v>
      </c>
      <c r="AT54" s="45">
        <f t="shared" si="13"/>
        <v>130294.47272727272</v>
      </c>
      <c r="AU54" s="62"/>
      <c r="AV54" s="46"/>
      <c r="AW54" s="47"/>
      <c r="AX54" s="48"/>
      <c r="AY54" s="49"/>
      <c r="BA54" s="48"/>
    </row>
    <row r="55" spans="1:53" ht="19.5" customHeight="1" x14ac:dyDescent="0.25">
      <c r="A55" s="33" t="str">
        <f t="shared" si="0"/>
        <v>106429400,05</v>
      </c>
      <c r="B55" s="33" t="str">
        <f t="shared" si="1"/>
        <v>3460,05</v>
      </c>
      <c r="C55" s="34" t="str">
        <f>VLOOKUP(D55,[1]apoio_Preços_MGS!$A$6:$B$238,2,FALSE)</f>
        <v>ANALISTA ESPECIALIZADO EM CIÊNCIAS EXATAS E DA TERRA I</v>
      </c>
      <c r="D55" s="35">
        <v>346</v>
      </c>
      <c r="E55" s="33" t="str">
        <f>VLOOKUP(D55,[1]apoio_Preços_MGS!$A$6:$F$238,6,FALSE)</f>
        <v>ANALISTA ESPECIALIZADO EM CIÊNCIAS EXATAS E DA TERRA I - DIARISTA DIURNO - 40H</v>
      </c>
      <c r="F55" s="36">
        <f>IFERROR(VLOOKUP(D55,'[1]apoio_cód catmas'!$B$2:$C$863,2,FALSE),0)</f>
        <v>106429</v>
      </c>
      <c r="G55" s="33" t="str">
        <f>IF(H55="N/A",VLOOKUP(F55&amp;40,'[1]apoio_cód catmas'!$A$1:$G$233,4,FALSE),VLOOKUP(F55&amp;H55,'[1]apoio_cód catmas'!$A$1:$G$233,4,FALSE))</f>
        <v>ANALISTA ESPECIALIZADO EM CIENCIAS EXATAS E DA TERRA I- 30H,36H, 40H OU 44H</v>
      </c>
      <c r="H55" s="36">
        <v>40</v>
      </c>
      <c r="I55" s="37">
        <v>0.05</v>
      </c>
      <c r="J55" s="38" t="s">
        <v>47</v>
      </c>
      <c r="K55" s="39">
        <v>99</v>
      </c>
      <c r="L55" s="39">
        <f t="shared" si="2"/>
        <v>5940</v>
      </c>
      <c r="M55" s="40">
        <f>VLOOKUP(D55,[1]apoio_Preços_MGS!$A$6:$AN$238,18,FALSE)</f>
        <v>5180.4789041754766</v>
      </c>
      <c r="N55" s="40">
        <f>VLOOKUP(D55,[1]apoio_Preços_MGS!$A$6:$AN$238,19,FALSE)</f>
        <v>0</v>
      </c>
      <c r="O55" s="40">
        <f>VLOOKUP(D55,[1]apoio_Preços_MGS!$A$6:$AN$238,20,FALSE)</f>
        <v>0</v>
      </c>
      <c r="P55" s="40">
        <f>VLOOKUP(D55,[1]apoio_Preços_MGS!$A$6:$AN$238,21,FALSE)</f>
        <v>0</v>
      </c>
      <c r="Q55" s="40">
        <f>VLOOKUP(D55,[1]apoio_Preços_MGS!$A$6:$AN$238,22,FALSE)</f>
        <v>0</v>
      </c>
      <c r="R55" s="40">
        <f>VLOOKUP(D55,[1]apoio_Preços_MGS!$A$6:$AN$238,23,FALSE)</f>
        <v>0</v>
      </c>
      <c r="S55" s="40">
        <f>VLOOKUP(D55,[1]apoio_Preços_MGS!$A$6:$AN$238,24,FALSE)</f>
        <v>0</v>
      </c>
      <c r="T55" s="40">
        <f>VLOOKUP(D55,[1]apoio_Preços_MGS!$A$6:$AN$238,25,FALSE)</f>
        <v>0</v>
      </c>
      <c r="U55" s="40">
        <f t="shared" si="3"/>
        <v>5180.4789041754766</v>
      </c>
      <c r="V55" s="41">
        <f>VLOOKUP(D55,[1]apoio_Preços_MGS!$A$6:$AN$238,27,FALSE)</f>
        <v>0.81799999999999995</v>
      </c>
      <c r="W55" s="40">
        <f t="shared" si="4"/>
        <v>4237.6317436155396</v>
      </c>
      <c r="X55" s="40">
        <f>VLOOKUP(D55,[1]apoio_Preços_MGS!$A$6:$AN$238,29,FALSE)</f>
        <v>0</v>
      </c>
      <c r="Y55" s="40">
        <f>VLOOKUP(D55,[1]apoio_Preços_MGS!$A$6:$AN$238,30,FALSE)</f>
        <v>0</v>
      </c>
      <c r="Z55" s="40">
        <f t="shared" si="5"/>
        <v>0</v>
      </c>
      <c r="AA55" s="40">
        <f>VLOOKUP(D55,[1]apoio_Preços_MGS!$A$6:$AN$238,32,FALSE)</f>
        <v>9.6</v>
      </c>
      <c r="AB55" s="40">
        <f>VLOOKUP(D55,[1]apoio_Preços_MGS!$A$6:$AN$238,33,FALSE)</f>
        <v>51.755367864693412</v>
      </c>
      <c r="AC55" s="41">
        <f>VLOOKUP(D55,[1]apoio_Preços_MGS!$A$6:$AN$238,34,FALSE)</f>
        <v>0</v>
      </c>
      <c r="AD55" s="40">
        <f>(U55+W55+Z55+AB55+AA55+VLOOKUP(C55,[1]apoio_Prec_Folha!$A:$S,7,FALSE))*AC55</f>
        <v>0</v>
      </c>
      <c r="AE55" s="42">
        <f>VLOOKUP(D55,[1]apoio_Preços_MGS!$A$6:$AN$238,36,FALSE)</f>
        <v>7.0000000000000007E-2</v>
      </c>
      <c r="AF55" s="40">
        <f>(U55+W55+Z55+AB55+AD55+AA55+VLOOKUP(C55,[1]apoio_Prec_Folha!$A:$S,7,FALSE))*AE55</f>
        <v>701.50576295636483</v>
      </c>
      <c r="AG55" s="40">
        <f t="shared" si="6"/>
        <v>10180.969999999999</v>
      </c>
      <c r="AH55" s="43">
        <f t="shared" si="7"/>
        <v>11872.84</v>
      </c>
      <c r="AI55" s="43">
        <f t="shared" si="8"/>
        <v>1175411.1599999999</v>
      </c>
      <c r="AJ55" s="43">
        <f t="shared" si="9"/>
        <v>70524669.599999994</v>
      </c>
      <c r="AK55" s="44">
        <f>VLOOKUP(D55,[1]apoio_Preços_MGS!$A$6:$AN$238,39,FALSE)</f>
        <v>181.81818181818184</v>
      </c>
      <c r="AL55" s="44">
        <f>IF(J55="demais municípios",VLOOKUP(D55,[1]apoio_Preços_MGS!$A$6:$AN$238,39,FALSE),0)</f>
        <v>0</v>
      </c>
      <c r="AM55" s="44">
        <v>0</v>
      </c>
      <c r="AN55" s="45">
        <f t="shared" si="14"/>
        <v>0</v>
      </c>
      <c r="AO55" s="44">
        <f>VLOOKUP(D55,[1]apoio_Preços_MGS!$A$6:$AN$238,40,FALSE)</f>
        <v>542.04</v>
      </c>
      <c r="AP55" s="44">
        <f>IF(J55="demais municípios",VLOOKUP(D55,[1]apoio_Preços_MGS!$A$6:$AN$238,40,FALSE),0)</f>
        <v>0</v>
      </c>
      <c r="AQ55" s="44">
        <f>TRUNC(ROUND(($I55)/(1-($I55)),5)*VLOOKUP(D55,[1]apoio_Preços_MGS!$A$6:$AN$238,40,FALSE)+VLOOKUP(D55,[1]apoio_Preços_MGS!$A$6:$AN$238,40,FALSE),2)</f>
        <v>570.55999999999995</v>
      </c>
      <c r="AR55" s="45">
        <f t="shared" si="15"/>
        <v>56485.439999999995</v>
      </c>
      <c r="AS55" s="45">
        <f t="shared" si="10"/>
        <v>56485.439999999995</v>
      </c>
      <c r="AT55" s="45">
        <f t="shared" si="13"/>
        <v>3389126.4</v>
      </c>
      <c r="AU55" s="62"/>
      <c r="AV55" s="46"/>
      <c r="AW55" s="47"/>
      <c r="AX55" s="48"/>
      <c r="AY55" s="49"/>
      <c r="BA55" s="48"/>
    </row>
    <row r="56" spans="1:53" ht="19.5" customHeight="1" x14ac:dyDescent="0.25">
      <c r="A56" s="33" t="str">
        <f t="shared" si="0"/>
        <v>106429440,04</v>
      </c>
      <c r="B56" s="33" t="str">
        <f t="shared" si="1"/>
        <v>3470,04</v>
      </c>
      <c r="C56" s="34" t="str">
        <f>VLOOKUP(D56,[1]apoio_Preços_MGS!$A$6:$B$238,2,FALSE)</f>
        <v>ANALISTA ESPECIALIZADO EM CIÊNCIAS EXATAS E DA TERRA I</v>
      </c>
      <c r="D56" s="35">
        <v>347</v>
      </c>
      <c r="E56" s="33" t="str">
        <f>VLOOKUP(D56,[1]apoio_Preços_MGS!$A$6:$F$238,6,FALSE)</f>
        <v>ANALISTA ESPECIALIZADO EM CIÊNCIAS EXATAS E DA TERRA I - DIARISTA DIURNO - 44H</v>
      </c>
      <c r="F56" s="36">
        <f>IFERROR(VLOOKUP(D56,'[1]apoio_cód catmas'!$B$2:$C$863,2,FALSE),0)</f>
        <v>106429</v>
      </c>
      <c r="G56" s="33" t="str">
        <f>IF(H56="N/A",VLOOKUP(F56&amp;40,'[1]apoio_cód catmas'!$A$1:$G$233,4,FALSE),VLOOKUP(F56&amp;H56,'[1]apoio_cód catmas'!$A$1:$G$233,4,FALSE))</f>
        <v>ANALISTA ESPECIALIZADO EM CIENCIAS EXATAS E DA TERRA I- 30H,36H, 40H OU 44H</v>
      </c>
      <c r="H56" s="36">
        <v>44</v>
      </c>
      <c r="I56" s="37">
        <v>0.04</v>
      </c>
      <c r="J56" s="38" t="s">
        <v>46</v>
      </c>
      <c r="K56" s="39">
        <v>2</v>
      </c>
      <c r="L56" s="39">
        <f t="shared" si="2"/>
        <v>120</v>
      </c>
      <c r="M56" s="40">
        <f>VLOOKUP(D56,[1]apoio_Preços_MGS!$A$6:$AN$238,18,FALSE)</f>
        <v>5698.5267945930245</v>
      </c>
      <c r="N56" s="40">
        <f>VLOOKUP(D56,[1]apoio_Preços_MGS!$A$6:$AN$238,19,FALSE)</f>
        <v>0</v>
      </c>
      <c r="O56" s="40">
        <f>VLOOKUP(D56,[1]apoio_Preços_MGS!$A$6:$AN$238,20,FALSE)</f>
        <v>0</v>
      </c>
      <c r="P56" s="40">
        <f>VLOOKUP(D56,[1]apoio_Preços_MGS!$A$6:$AN$238,21,FALSE)</f>
        <v>0</v>
      </c>
      <c r="Q56" s="40">
        <f>VLOOKUP(D56,[1]apoio_Preços_MGS!$A$6:$AN$238,22,FALSE)</f>
        <v>0</v>
      </c>
      <c r="R56" s="40">
        <f>VLOOKUP(D56,[1]apoio_Preços_MGS!$A$6:$AN$238,23,FALSE)</f>
        <v>0</v>
      </c>
      <c r="S56" s="40">
        <f>VLOOKUP(D56,[1]apoio_Preços_MGS!$A$6:$AN$238,24,FALSE)</f>
        <v>0</v>
      </c>
      <c r="T56" s="40">
        <f>VLOOKUP(D56,[1]apoio_Preços_MGS!$A$6:$AN$238,25,FALSE)</f>
        <v>0</v>
      </c>
      <c r="U56" s="40">
        <f t="shared" si="3"/>
        <v>5698.5267945930245</v>
      </c>
      <c r="V56" s="41">
        <f>VLOOKUP(D56,[1]apoio_Preços_MGS!$A$6:$AN$238,27,FALSE)</f>
        <v>0.81799999999999995</v>
      </c>
      <c r="W56" s="40">
        <f t="shared" si="4"/>
        <v>4661.3949179770934</v>
      </c>
      <c r="X56" s="40">
        <f>VLOOKUP(D56,[1]apoio_Preços_MGS!$A$6:$AN$238,29,FALSE)</f>
        <v>0</v>
      </c>
      <c r="Y56" s="40">
        <f>VLOOKUP(D56,[1]apoio_Preços_MGS!$A$6:$AN$238,30,FALSE)</f>
        <v>0</v>
      </c>
      <c r="Z56" s="40">
        <f t="shared" si="5"/>
        <v>0</v>
      </c>
      <c r="AA56" s="40">
        <f>VLOOKUP(D56,[1]apoio_Preços_MGS!$A$6:$AN$238,32,FALSE)</f>
        <v>9.6</v>
      </c>
      <c r="AB56" s="40">
        <f>VLOOKUP(D56,[1]apoio_Preços_MGS!$A$6:$AN$238,33,FALSE)</f>
        <v>42.051344186046478</v>
      </c>
      <c r="AC56" s="41">
        <f>VLOOKUP(D56,[1]apoio_Preços_MGS!$A$6:$AN$238,34,FALSE)</f>
        <v>0</v>
      </c>
      <c r="AD56" s="40">
        <f>(U56+W56+Z56+AB56+AA56+VLOOKUP(C56,[1]apoio_Prec_Folha!$A:$S,7,FALSE))*AC56</f>
        <v>0</v>
      </c>
      <c r="AE56" s="42">
        <f>VLOOKUP(D56,[1]apoio_Preços_MGS!$A$6:$AN$238,36,FALSE)</f>
        <v>7.0000000000000007E-2</v>
      </c>
      <c r="AF56" s="40">
        <f>(U56+W56+Z56+AB56+AD56+AA56+VLOOKUP(C56,[1]apoio_Prec_Folha!$A:$S,7,FALSE))*AE56</f>
        <v>766.75325583339668</v>
      </c>
      <c r="AG56" s="40">
        <f t="shared" si="6"/>
        <v>11178.32</v>
      </c>
      <c r="AH56" s="43">
        <f t="shared" si="7"/>
        <v>12885.69</v>
      </c>
      <c r="AI56" s="43">
        <f t="shared" si="8"/>
        <v>25771.38</v>
      </c>
      <c r="AJ56" s="43">
        <f t="shared" si="9"/>
        <v>1546282.8</v>
      </c>
      <c r="AK56" s="44">
        <f>VLOOKUP(D56,[1]apoio_Preços_MGS!$A$6:$AN$238,39,FALSE)</f>
        <v>200.00000000000003</v>
      </c>
      <c r="AL56" s="44">
        <f>IF(J56="demais municípios",VLOOKUP(D56,[1]apoio_Preços_MGS!$A$6:$AN$238,39,FALSE),0)</f>
        <v>200.00000000000003</v>
      </c>
      <c r="AM56" s="44">
        <v>0</v>
      </c>
      <c r="AN56" s="45">
        <f>AK56*K56</f>
        <v>400.00000000000006</v>
      </c>
      <c r="AO56" s="44">
        <f>VLOOKUP(D56,[1]apoio_Preços_MGS!$A$6:$AN$238,40,FALSE)</f>
        <v>542.04</v>
      </c>
      <c r="AP56" s="44">
        <f>IF(J56="demais municípios",VLOOKUP(D56,[1]apoio_Preços_MGS!$A$6:$AN$238,40,FALSE),0)</f>
        <v>542.04</v>
      </c>
      <c r="AQ56" s="44">
        <v>0</v>
      </c>
      <c r="AR56" s="45">
        <f>AO56*K56</f>
        <v>1084.08</v>
      </c>
      <c r="AS56" s="45">
        <f t="shared" si="10"/>
        <v>1484.08</v>
      </c>
      <c r="AT56" s="45">
        <f t="shared" si="13"/>
        <v>89044.799999999988</v>
      </c>
      <c r="AU56" s="62"/>
      <c r="AV56" s="46"/>
      <c r="AW56" s="47"/>
      <c r="AX56" s="48"/>
      <c r="AY56" s="49"/>
      <c r="BA56" s="48"/>
    </row>
    <row r="57" spans="1:53" ht="19.5" customHeight="1" x14ac:dyDescent="0.25">
      <c r="A57" s="33" t="str">
        <f t="shared" si="0"/>
        <v>106429440,05</v>
      </c>
      <c r="B57" s="33" t="str">
        <f t="shared" si="1"/>
        <v>3470,05</v>
      </c>
      <c r="C57" s="34" t="str">
        <f>VLOOKUP(D57,[1]apoio_Preços_MGS!$A$6:$B$238,2,FALSE)</f>
        <v>ANALISTA ESPECIALIZADO EM CIÊNCIAS EXATAS E DA TERRA I</v>
      </c>
      <c r="D57" s="35">
        <v>347</v>
      </c>
      <c r="E57" s="33" t="str">
        <f>VLOOKUP(D57,[1]apoio_Preços_MGS!$A$6:$F$238,6,FALSE)</f>
        <v>ANALISTA ESPECIALIZADO EM CIÊNCIAS EXATAS E DA TERRA I - DIARISTA DIURNO - 44H</v>
      </c>
      <c r="F57" s="36">
        <f>IFERROR(VLOOKUP(D57,'[1]apoio_cód catmas'!$B$2:$C$863,2,FALSE),0)</f>
        <v>106429</v>
      </c>
      <c r="G57" s="33" t="str">
        <f>IF(H57="N/A",VLOOKUP(F57&amp;40,'[1]apoio_cód catmas'!$A$1:$G$233,4,FALSE),VLOOKUP(F57&amp;H57,'[1]apoio_cód catmas'!$A$1:$G$233,4,FALSE))</f>
        <v>ANALISTA ESPECIALIZADO EM CIENCIAS EXATAS E DA TERRA I- 30H,36H, 40H OU 44H</v>
      </c>
      <c r="H57" s="36">
        <v>44</v>
      </c>
      <c r="I57" s="37">
        <v>0.05</v>
      </c>
      <c r="J57" s="38" t="s">
        <v>47</v>
      </c>
      <c r="K57" s="39">
        <v>2</v>
      </c>
      <c r="L57" s="39">
        <f t="shared" si="2"/>
        <v>120</v>
      </c>
      <c r="M57" s="40">
        <f>VLOOKUP(D57,[1]apoio_Preços_MGS!$A$6:$AN$238,18,FALSE)</f>
        <v>5698.5267945930245</v>
      </c>
      <c r="N57" s="40">
        <f>VLOOKUP(D57,[1]apoio_Preços_MGS!$A$6:$AN$238,19,FALSE)</f>
        <v>0</v>
      </c>
      <c r="O57" s="40">
        <f>VLOOKUP(D57,[1]apoio_Preços_MGS!$A$6:$AN$238,20,FALSE)</f>
        <v>0</v>
      </c>
      <c r="P57" s="40">
        <f>VLOOKUP(D57,[1]apoio_Preços_MGS!$A$6:$AN$238,21,FALSE)</f>
        <v>0</v>
      </c>
      <c r="Q57" s="40">
        <f>VLOOKUP(D57,[1]apoio_Preços_MGS!$A$6:$AN$238,22,FALSE)</f>
        <v>0</v>
      </c>
      <c r="R57" s="40">
        <f>VLOOKUP(D57,[1]apoio_Preços_MGS!$A$6:$AN$238,23,FALSE)</f>
        <v>0</v>
      </c>
      <c r="S57" s="40">
        <f>VLOOKUP(D57,[1]apoio_Preços_MGS!$A$6:$AN$238,24,FALSE)</f>
        <v>0</v>
      </c>
      <c r="T57" s="40">
        <f>VLOOKUP(D57,[1]apoio_Preços_MGS!$A$6:$AN$238,25,FALSE)</f>
        <v>0</v>
      </c>
      <c r="U57" s="40">
        <f t="shared" si="3"/>
        <v>5698.5267945930245</v>
      </c>
      <c r="V57" s="41">
        <f>VLOOKUP(D57,[1]apoio_Preços_MGS!$A$6:$AN$238,27,FALSE)</f>
        <v>0.81799999999999995</v>
      </c>
      <c r="W57" s="40">
        <f t="shared" si="4"/>
        <v>4661.3949179770934</v>
      </c>
      <c r="X57" s="40">
        <f>VLOOKUP(D57,[1]apoio_Preços_MGS!$A$6:$AN$238,29,FALSE)</f>
        <v>0</v>
      </c>
      <c r="Y57" s="40">
        <f>VLOOKUP(D57,[1]apoio_Preços_MGS!$A$6:$AN$238,30,FALSE)</f>
        <v>0</v>
      </c>
      <c r="Z57" s="40">
        <f t="shared" si="5"/>
        <v>0</v>
      </c>
      <c r="AA57" s="40">
        <f>VLOOKUP(D57,[1]apoio_Preços_MGS!$A$6:$AN$238,32,FALSE)</f>
        <v>9.6</v>
      </c>
      <c r="AB57" s="40">
        <f>VLOOKUP(D57,[1]apoio_Preços_MGS!$A$6:$AN$238,33,FALSE)</f>
        <v>42.051344186046478</v>
      </c>
      <c r="AC57" s="41">
        <f>VLOOKUP(D57,[1]apoio_Preços_MGS!$A$6:$AN$238,34,FALSE)</f>
        <v>0</v>
      </c>
      <c r="AD57" s="40">
        <f>(U57+W57+Z57+AB57+AA57+VLOOKUP(C57,[1]apoio_Prec_Folha!$A:$S,7,FALSE))*AC57</f>
        <v>0</v>
      </c>
      <c r="AE57" s="42">
        <f>VLOOKUP(D57,[1]apoio_Preços_MGS!$A$6:$AN$238,36,FALSE)</f>
        <v>7.0000000000000007E-2</v>
      </c>
      <c r="AF57" s="40">
        <f>(U57+W57+Z57+AB57+AD57+AA57+VLOOKUP(C57,[1]apoio_Prec_Folha!$A:$S,7,FALSE))*AE57</f>
        <v>766.75325583339668</v>
      </c>
      <c r="AG57" s="40">
        <f t="shared" si="6"/>
        <v>11178.32</v>
      </c>
      <c r="AH57" s="43">
        <f t="shared" si="7"/>
        <v>13035.93</v>
      </c>
      <c r="AI57" s="43">
        <f t="shared" si="8"/>
        <v>26071.86</v>
      </c>
      <c r="AJ57" s="43">
        <f t="shared" si="9"/>
        <v>1564311.6</v>
      </c>
      <c r="AK57" s="44">
        <f>VLOOKUP(D57,[1]apoio_Preços_MGS!$A$6:$AN$238,39,FALSE)</f>
        <v>200.00000000000003</v>
      </c>
      <c r="AL57" s="44">
        <f>IF(J57="demais municípios",VLOOKUP(D57,[1]apoio_Preços_MGS!$A$6:$AN$238,39,FALSE),0)</f>
        <v>0</v>
      </c>
      <c r="AM57" s="44">
        <v>0</v>
      </c>
      <c r="AN57" s="45">
        <f t="shared" si="14"/>
        <v>0</v>
      </c>
      <c r="AO57" s="44">
        <f>VLOOKUP(D57,[1]apoio_Preços_MGS!$A$6:$AN$238,40,FALSE)</f>
        <v>542.04</v>
      </c>
      <c r="AP57" s="44">
        <f>IF(J57="demais municípios",VLOOKUP(D57,[1]apoio_Preços_MGS!$A$6:$AN$238,40,FALSE),0)</f>
        <v>0</v>
      </c>
      <c r="AQ57" s="44">
        <f>TRUNC(ROUND(($I57)/(1-($I57)),5)*VLOOKUP(D57,[1]apoio_Preços_MGS!$A$6:$AN$238,40,FALSE)+VLOOKUP(D57,[1]apoio_Preços_MGS!$A$6:$AN$238,40,FALSE),2)</f>
        <v>570.55999999999995</v>
      </c>
      <c r="AR57" s="45">
        <f t="shared" si="15"/>
        <v>1141.1199999999999</v>
      </c>
      <c r="AS57" s="45">
        <f t="shared" si="10"/>
        <v>1141.1199999999999</v>
      </c>
      <c r="AT57" s="45">
        <f t="shared" si="13"/>
        <v>68467.199999999997</v>
      </c>
      <c r="AU57" s="62"/>
      <c r="AV57" s="46"/>
      <c r="AW57" s="47"/>
      <c r="AX57" s="48"/>
      <c r="AY57" s="49"/>
      <c r="BA57" s="48"/>
    </row>
    <row r="58" spans="1:53" ht="19.5" customHeight="1" x14ac:dyDescent="0.25">
      <c r="A58" s="33" t="str">
        <f t="shared" si="0"/>
        <v>117706440,03</v>
      </c>
      <c r="B58" s="33" t="str">
        <f t="shared" si="1"/>
        <v>13590,03</v>
      </c>
      <c r="C58" s="34" t="str">
        <f>VLOOKUP(D58,[1]apoio_Preços_MGS!$A$6:$B$238,2,FALSE)</f>
        <v>ANALISTA ESPECIALIZADO EM CIÊNCIAS HUMANAS</v>
      </c>
      <c r="D58" s="35">
        <v>1359</v>
      </c>
      <c r="E58" s="33" t="str">
        <f>VLOOKUP(D58,[1]apoio_Preços_MGS!$A$6:$F$238,6,FALSE)</f>
        <v>ANALISTA ESPECIALIZADO EM CIÊNCIAS HUMANAS - 12x36 NOTURNO - 44H</v>
      </c>
      <c r="F58" s="36">
        <f>IFERROR(VLOOKUP(D58,'[1]apoio_cód catmas'!$B$2:$C$863,2,FALSE),0)</f>
        <v>117706</v>
      </c>
      <c r="G58" s="33" t="str">
        <f>IF(H58="N/A",VLOOKUP(F58&amp;40,'[1]apoio_cód catmas'!$A$1:$G$233,4,FALSE),VLOOKUP(F58&amp;H58,'[1]apoio_cód catmas'!$A$1:$G$233,4,FALSE))</f>
        <v>ANALISTA ESPECIALIZADO EM CIENCIAS HUMANAS - 12X36 NOTURNO - 44H</v>
      </c>
      <c r="H58" s="36">
        <v>44</v>
      </c>
      <c r="I58" s="37">
        <v>0.03</v>
      </c>
      <c r="J58" s="38" t="s">
        <v>46</v>
      </c>
      <c r="K58" s="39">
        <v>3</v>
      </c>
      <c r="L58" s="39">
        <f t="shared" si="2"/>
        <v>180</v>
      </c>
      <c r="M58" s="40">
        <f>VLOOKUP(D58,[1]apoio_Preços_MGS!$A$6:$AN$238,18,FALSE)</f>
        <v>4578.4021811284138</v>
      </c>
      <c r="N58" s="40">
        <f>VLOOKUP(D58,[1]apoio_Preços_MGS!$A$6:$AN$238,19,FALSE)</f>
        <v>0</v>
      </c>
      <c r="O58" s="40">
        <f>VLOOKUP(D58,[1]apoio_Preços_MGS!$A$6:$AN$238,20,FALSE)</f>
        <v>1066.5820909925728</v>
      </c>
      <c r="P58" s="40">
        <f>VLOOKUP(D58,[1]apoio_Preços_MGS!$A$6:$AN$238,21,FALSE)</f>
        <v>23.281849544330829</v>
      </c>
      <c r="Q58" s="40">
        <f>VLOOKUP(D58,[1]apoio_Preços_MGS!$A$6:$AN$238,22,FALSE)</f>
        <v>87.306909599159852</v>
      </c>
      <c r="R58" s="40">
        <f>VLOOKUP(D58,[1]apoio_Preços_MGS!$A$6:$AN$238,23,FALSE)</f>
        <v>0</v>
      </c>
      <c r="S58" s="40">
        <f>VLOOKUP(D58,[1]apoio_Preços_MGS!$A$6:$AN$238,24,FALSE)</f>
        <v>0</v>
      </c>
      <c r="T58" s="40">
        <f>VLOOKUP(D58,[1]apoio_Preços_MGS!$A$6:$AN$238,25,FALSE)</f>
        <v>6.3588919182339083</v>
      </c>
      <c r="U58" s="40">
        <f t="shared" si="3"/>
        <v>5761.9319231827103</v>
      </c>
      <c r="V58" s="41">
        <f>VLOOKUP(D58,[1]apoio_Preços_MGS!$A$6:$AN$238,27,FALSE)</f>
        <v>0.81799999999999995</v>
      </c>
      <c r="W58" s="40">
        <f t="shared" si="4"/>
        <v>4713.2603131634569</v>
      </c>
      <c r="X58" s="40">
        <f>VLOOKUP(D58,[1]apoio_Preços_MGS!$A$6:$AN$238,29,FALSE)</f>
        <v>0</v>
      </c>
      <c r="Y58" s="40">
        <f>VLOOKUP(D58,[1]apoio_Preços_MGS!$A$6:$AN$238,30,FALSE)</f>
        <v>0</v>
      </c>
      <c r="Z58" s="40">
        <f t="shared" si="5"/>
        <v>0</v>
      </c>
      <c r="AA58" s="40">
        <f>VLOOKUP(D58,[1]apoio_Preços_MGS!$A$6:$AN$238,32,FALSE)</f>
        <v>8.7905321877665532</v>
      </c>
      <c r="AB58" s="40">
        <f>VLOOKUP(D58,[1]apoio_Preços_MGS!$A$6:$AN$238,33,FALSE)</f>
        <v>85.980634920634856</v>
      </c>
      <c r="AC58" s="41">
        <f>VLOOKUP(D58,[1]apoio_Preços_MGS!$A$6:$AN$238,34,FALSE)</f>
        <v>0</v>
      </c>
      <c r="AD58" s="40">
        <f>(U58+W58+Z58+AB58+AA58+VLOOKUP(C58,[1]apoio_Prec_Folha!$A:$S,7,FALSE))*AC58</f>
        <v>0</v>
      </c>
      <c r="AE58" s="42">
        <f>VLOOKUP(D58,[1]apoio_Preços_MGS!$A$6:$AN$238,36,FALSE)</f>
        <v>7.0000000000000007E-2</v>
      </c>
      <c r="AF58" s="40">
        <f>(U58+W58+Z58+AB58+AD58+AA58+VLOOKUP(C58,[1]apoio_Prec_Folha!$A:$S,7,FALSE))*AE58</f>
        <v>778.11733824181999</v>
      </c>
      <c r="AG58" s="40">
        <f t="shared" si="6"/>
        <v>11348.08</v>
      </c>
      <c r="AH58" s="43">
        <f t="shared" si="7"/>
        <v>12932.27</v>
      </c>
      <c r="AI58" s="43">
        <f t="shared" si="8"/>
        <v>38796.81</v>
      </c>
      <c r="AJ58" s="43">
        <f t="shared" si="9"/>
        <v>2327808.6</v>
      </c>
      <c r="AK58" s="44">
        <f>VLOOKUP(D58,[1]apoio_Preços_MGS!$A$6:$AN$238,39,FALSE)</f>
        <v>200.00000000000003</v>
      </c>
      <c r="AL58" s="44">
        <f>IF(J58="demais municípios",VLOOKUP(D58,[1]apoio_Preços_MGS!$A$6:$AN$238,39,FALSE),0)</f>
        <v>200.00000000000003</v>
      </c>
      <c r="AM58" s="44">
        <v>0</v>
      </c>
      <c r="AN58" s="45">
        <f t="shared" ref="AN58:AN62" si="26">AK58*K58</f>
        <v>600.00000000000011</v>
      </c>
      <c r="AO58" s="44">
        <f>VLOOKUP(D58,[1]apoio_Preços_MGS!$A$6:$AN$238,40,FALSE)</f>
        <v>545.99</v>
      </c>
      <c r="AP58" s="44">
        <f>IF(J58="demais municípios",VLOOKUP(D58,[1]apoio_Preços_MGS!$A$6:$AN$238,40,FALSE),0)</f>
        <v>545.99</v>
      </c>
      <c r="AQ58" s="44">
        <v>0</v>
      </c>
      <c r="AR58" s="45">
        <f t="shared" ref="AR58:AR62" si="27">AO58*K58</f>
        <v>1637.97</v>
      </c>
      <c r="AS58" s="45">
        <f t="shared" si="10"/>
        <v>2237.9700000000003</v>
      </c>
      <c r="AT58" s="45">
        <f t="shared" si="13"/>
        <v>134278.20000000001</v>
      </c>
      <c r="AU58" s="62"/>
      <c r="AV58" s="46"/>
      <c r="AW58" s="47"/>
      <c r="AX58" s="48"/>
      <c r="AY58" s="49"/>
      <c r="BA58" s="48"/>
    </row>
    <row r="59" spans="1:53" ht="19.5" customHeight="1" x14ac:dyDescent="0.25">
      <c r="A59" s="33" t="str">
        <f t="shared" si="0"/>
        <v>106437300,03</v>
      </c>
      <c r="B59" s="33" t="str">
        <f t="shared" si="1"/>
        <v>3520,03</v>
      </c>
      <c r="C59" s="34" t="str">
        <f>VLOOKUP(D59,[1]apoio_Preços_MGS!$A$6:$B$238,2,FALSE)</f>
        <v>ANALISTA ESPECIALIZADO EM CIÊNCIAS HUMANAS</v>
      </c>
      <c r="D59" s="35">
        <v>352</v>
      </c>
      <c r="E59" s="33" t="str">
        <f>VLOOKUP(D59,[1]apoio_Preços_MGS!$A$6:$F$238,6,FALSE)</f>
        <v>ANALISTA ESPECIALIZADO EM CIÊNCIAS HUMANAS - DIARISTA DIURNO - 30H</v>
      </c>
      <c r="F59" s="36">
        <f>IFERROR(VLOOKUP(D59,'[1]apoio_cód catmas'!$B$2:$C$863,2,FALSE),0)</f>
        <v>106437</v>
      </c>
      <c r="G59" s="33" t="str">
        <f>IF(H59="N/A",VLOOKUP(F59&amp;40,'[1]apoio_cód catmas'!$A$1:$G$233,4,FALSE),VLOOKUP(F59&amp;H59,'[1]apoio_cód catmas'!$A$1:$G$233,4,FALSE))</f>
        <v>ANALISTA ESPECIALIZADO EM CIENCIAS HUMANAS - 30H, 36H, 40H E 44H.</v>
      </c>
      <c r="H59" s="36">
        <v>30</v>
      </c>
      <c r="I59" s="37">
        <v>0.03</v>
      </c>
      <c r="J59" s="38" t="s">
        <v>46</v>
      </c>
      <c r="K59" s="39">
        <f>6-2</f>
        <v>4</v>
      </c>
      <c r="L59" s="39">
        <f t="shared" si="2"/>
        <v>240</v>
      </c>
      <c r="M59" s="40">
        <f>VLOOKUP(D59,[1]apoio_Preços_MGS!$A$6:$AN$238,18,FALSE)</f>
        <v>3121.637850769373</v>
      </c>
      <c r="N59" s="40">
        <f>VLOOKUP(D59,[1]apoio_Preços_MGS!$A$6:$AN$238,19,FALSE)</f>
        <v>0</v>
      </c>
      <c r="O59" s="40">
        <f>VLOOKUP(D59,[1]apoio_Preços_MGS!$A$6:$AN$238,20,FALSE)</f>
        <v>0</v>
      </c>
      <c r="P59" s="40">
        <f>VLOOKUP(D59,[1]apoio_Preços_MGS!$A$6:$AN$238,21,FALSE)</f>
        <v>0</v>
      </c>
      <c r="Q59" s="40">
        <f>VLOOKUP(D59,[1]apoio_Preços_MGS!$A$6:$AN$238,22,FALSE)</f>
        <v>0</v>
      </c>
      <c r="R59" s="40">
        <f>VLOOKUP(D59,[1]apoio_Preços_MGS!$A$6:$AN$238,23,FALSE)</f>
        <v>0</v>
      </c>
      <c r="S59" s="40">
        <f>VLOOKUP(D59,[1]apoio_Preços_MGS!$A$6:$AN$238,24,FALSE)</f>
        <v>0</v>
      </c>
      <c r="T59" s="40">
        <f>VLOOKUP(D59,[1]apoio_Preços_MGS!$A$6:$AN$238,25,FALSE)</f>
        <v>0</v>
      </c>
      <c r="U59" s="40">
        <f t="shared" si="3"/>
        <v>3121.637850769373</v>
      </c>
      <c r="V59" s="41">
        <f>VLOOKUP(D59,[1]apoio_Preços_MGS!$A$6:$AN$238,27,FALSE)</f>
        <v>0.81799999999999995</v>
      </c>
      <c r="W59" s="40">
        <f t="shared" si="4"/>
        <v>2553.4997619293472</v>
      </c>
      <c r="X59" s="40">
        <f>VLOOKUP(D59,[1]apoio_Preços_MGS!$A$6:$AN$238,29,FALSE)</f>
        <v>0</v>
      </c>
      <c r="Y59" s="40">
        <f>VLOOKUP(D59,[1]apoio_Preços_MGS!$A$6:$AN$238,30,FALSE)</f>
        <v>0</v>
      </c>
      <c r="Z59" s="40">
        <f t="shared" si="5"/>
        <v>0</v>
      </c>
      <c r="AA59" s="40">
        <f>VLOOKUP(D59,[1]apoio_Preços_MGS!$A$6:$AN$238,32,FALSE)</f>
        <v>5.9935446734771958</v>
      </c>
      <c r="AB59" s="40">
        <f>VLOOKUP(D59,[1]apoio_Preços_MGS!$A$6:$AN$238,33,FALSE)</f>
        <v>122.12538239538233</v>
      </c>
      <c r="AC59" s="41">
        <f>VLOOKUP(D59,[1]apoio_Preços_MGS!$A$6:$AN$238,34,FALSE)</f>
        <v>0</v>
      </c>
      <c r="AD59" s="40">
        <f>(U59+W59+Z59+AB59+AA59+VLOOKUP(C59,[1]apoio_Prec_Folha!$A:$S,7,FALSE))*AC59</f>
        <v>0</v>
      </c>
      <c r="AE59" s="42">
        <f>VLOOKUP(D59,[1]apoio_Preços_MGS!$A$6:$AN$238,36,FALSE)</f>
        <v>7.0000000000000007E-2</v>
      </c>
      <c r="AF59" s="40">
        <f>(U59+W59+Z59+AB59+AD59+AA59+VLOOKUP(C59,[1]apoio_Prec_Folha!$A:$S,7,FALSE))*AE59</f>
        <v>444.44785778373063</v>
      </c>
      <c r="AG59" s="40">
        <f t="shared" si="6"/>
        <v>6247.7</v>
      </c>
      <c r="AH59" s="43">
        <f t="shared" si="7"/>
        <v>7119.87</v>
      </c>
      <c r="AI59" s="43">
        <f t="shared" si="8"/>
        <v>28479.48</v>
      </c>
      <c r="AJ59" s="43">
        <f t="shared" si="9"/>
        <v>1708768.8</v>
      </c>
      <c r="AK59" s="44">
        <f>VLOOKUP(D59,[1]apoio_Preços_MGS!$A$6:$AN$238,39,FALSE)</f>
        <v>136.36363636363637</v>
      </c>
      <c r="AL59" s="44">
        <f>IF(J59="demais municípios",VLOOKUP(D59,[1]apoio_Preços_MGS!$A$6:$AN$238,39,FALSE),0)</f>
        <v>136.36363636363637</v>
      </c>
      <c r="AM59" s="44">
        <v>0</v>
      </c>
      <c r="AN59" s="45">
        <f t="shared" si="26"/>
        <v>545.4545454545455</v>
      </c>
      <c r="AO59" s="44">
        <f>VLOOKUP(D59,[1]apoio_Preços_MGS!$A$6:$AN$238,40,FALSE)</f>
        <v>545.99</v>
      </c>
      <c r="AP59" s="44">
        <f>IF(J59="demais municípios",VLOOKUP(D59,[1]apoio_Preços_MGS!$A$6:$AN$238,40,FALSE),0)</f>
        <v>545.99</v>
      </c>
      <c r="AQ59" s="44">
        <v>0</v>
      </c>
      <c r="AR59" s="45">
        <f t="shared" si="27"/>
        <v>2183.96</v>
      </c>
      <c r="AS59" s="45">
        <f t="shared" si="10"/>
        <v>2729.4145454545455</v>
      </c>
      <c r="AT59" s="45">
        <f t="shared" si="13"/>
        <v>163764.87272727274</v>
      </c>
      <c r="AU59" s="62"/>
      <c r="AV59" s="46"/>
      <c r="AW59" s="47"/>
      <c r="AX59" s="48"/>
      <c r="AY59" s="49"/>
      <c r="BA59" s="48"/>
    </row>
    <row r="60" spans="1:53" ht="19.5" customHeight="1" x14ac:dyDescent="0.25">
      <c r="A60" s="33" t="str">
        <f t="shared" si="0"/>
        <v>106437300,04</v>
      </c>
      <c r="B60" s="33" t="str">
        <f t="shared" si="1"/>
        <v>3520,04</v>
      </c>
      <c r="C60" s="34" t="str">
        <f>VLOOKUP(D60,[1]apoio_Preços_MGS!$A$6:$B$238,2,FALSE)</f>
        <v>ANALISTA ESPECIALIZADO EM CIÊNCIAS HUMANAS</v>
      </c>
      <c r="D60" s="35">
        <v>352</v>
      </c>
      <c r="E60" s="33" t="str">
        <f>VLOOKUP(D60,[1]apoio_Preços_MGS!$A$6:$F$238,6,FALSE)</f>
        <v>ANALISTA ESPECIALIZADO EM CIÊNCIAS HUMANAS - DIARISTA DIURNO - 30H</v>
      </c>
      <c r="F60" s="36">
        <f>IFERROR(VLOOKUP(D60,'[1]apoio_cód catmas'!$B$2:$C$863,2,FALSE),0)</f>
        <v>106437</v>
      </c>
      <c r="G60" s="33" t="str">
        <f>IF(H60="N/A",VLOOKUP(F60&amp;40,'[1]apoio_cód catmas'!$A$1:$G$233,4,FALSE),VLOOKUP(F60&amp;H60,'[1]apoio_cód catmas'!$A$1:$G$233,4,FALSE))</f>
        <v>ANALISTA ESPECIALIZADO EM CIENCIAS HUMANAS - 30H, 36H, 40H E 44H.</v>
      </c>
      <c r="H60" s="36">
        <v>30</v>
      </c>
      <c r="I60" s="37">
        <v>0.04</v>
      </c>
      <c r="J60" s="38" t="s">
        <v>46</v>
      </c>
      <c r="K60" s="39">
        <v>2</v>
      </c>
      <c r="L60" s="39">
        <f t="shared" si="2"/>
        <v>120</v>
      </c>
      <c r="M60" s="40">
        <f>VLOOKUP(D60,[1]apoio_Preços_MGS!$A$6:$AN$238,18,FALSE)</f>
        <v>3121.637850769373</v>
      </c>
      <c r="N60" s="40">
        <f>VLOOKUP(D60,[1]apoio_Preços_MGS!$A$6:$AN$238,19,FALSE)</f>
        <v>0</v>
      </c>
      <c r="O60" s="40">
        <f>VLOOKUP(D60,[1]apoio_Preços_MGS!$A$6:$AN$238,20,FALSE)</f>
        <v>0</v>
      </c>
      <c r="P60" s="40">
        <f>VLOOKUP(D60,[1]apoio_Preços_MGS!$A$6:$AN$238,21,FALSE)</f>
        <v>0</v>
      </c>
      <c r="Q60" s="40">
        <f>VLOOKUP(D60,[1]apoio_Preços_MGS!$A$6:$AN$238,22,FALSE)</f>
        <v>0</v>
      </c>
      <c r="R60" s="40">
        <f>VLOOKUP(D60,[1]apoio_Preços_MGS!$A$6:$AN$238,23,FALSE)</f>
        <v>0</v>
      </c>
      <c r="S60" s="40">
        <f>VLOOKUP(D60,[1]apoio_Preços_MGS!$A$6:$AN$238,24,FALSE)</f>
        <v>0</v>
      </c>
      <c r="T60" s="40">
        <f>VLOOKUP(D60,[1]apoio_Preços_MGS!$A$6:$AN$238,25,FALSE)</f>
        <v>0</v>
      </c>
      <c r="U60" s="40">
        <f t="shared" si="3"/>
        <v>3121.637850769373</v>
      </c>
      <c r="V60" s="41">
        <f>VLOOKUP(D60,[1]apoio_Preços_MGS!$A$6:$AN$238,27,FALSE)</f>
        <v>0.81799999999999995</v>
      </c>
      <c r="W60" s="40">
        <f t="shared" si="4"/>
        <v>2553.4997619293472</v>
      </c>
      <c r="X60" s="40">
        <f>VLOOKUP(D60,[1]apoio_Preços_MGS!$A$6:$AN$238,29,FALSE)</f>
        <v>0</v>
      </c>
      <c r="Y60" s="40">
        <f>VLOOKUP(D60,[1]apoio_Preços_MGS!$A$6:$AN$238,30,FALSE)</f>
        <v>0</v>
      </c>
      <c r="Z60" s="40">
        <f t="shared" si="5"/>
        <v>0</v>
      </c>
      <c r="AA60" s="40">
        <f>VLOOKUP(D60,[1]apoio_Preços_MGS!$A$6:$AN$238,32,FALSE)</f>
        <v>5.9935446734771958</v>
      </c>
      <c r="AB60" s="40">
        <f>VLOOKUP(D60,[1]apoio_Preços_MGS!$A$6:$AN$238,33,FALSE)</f>
        <v>122.12538239538233</v>
      </c>
      <c r="AC60" s="41">
        <f>VLOOKUP(D60,[1]apoio_Preços_MGS!$A$6:$AN$238,34,FALSE)</f>
        <v>0</v>
      </c>
      <c r="AD60" s="40">
        <f>(U60+W60+Z60+AB60+AA60+VLOOKUP(C60,[1]apoio_Prec_Folha!$A:$S,7,FALSE))*AC60</f>
        <v>0</v>
      </c>
      <c r="AE60" s="42">
        <f>VLOOKUP(D60,[1]apoio_Preços_MGS!$A$6:$AN$238,36,FALSE)</f>
        <v>7.0000000000000007E-2</v>
      </c>
      <c r="AF60" s="40">
        <f>(U60+W60+Z60+AB60+AD60+AA60+VLOOKUP(C60,[1]apoio_Prec_Folha!$A:$S,7,FALSE))*AE60</f>
        <v>444.44785778373063</v>
      </c>
      <c r="AG60" s="40">
        <f t="shared" si="6"/>
        <v>6247.7</v>
      </c>
      <c r="AH60" s="43">
        <f t="shared" si="7"/>
        <v>7201.97</v>
      </c>
      <c r="AI60" s="43">
        <f t="shared" si="8"/>
        <v>14403.94</v>
      </c>
      <c r="AJ60" s="43">
        <f t="shared" si="9"/>
        <v>864236.4</v>
      </c>
      <c r="AK60" s="44">
        <f>VLOOKUP(D60,[1]apoio_Preços_MGS!$A$6:$AN$238,39,FALSE)</f>
        <v>136.36363636363637</v>
      </c>
      <c r="AL60" s="44">
        <f>IF(J60="demais municípios",VLOOKUP(D60,[1]apoio_Preços_MGS!$A$6:$AN$238,39,FALSE),0)</f>
        <v>136.36363636363637</v>
      </c>
      <c r="AM60" s="44">
        <v>0</v>
      </c>
      <c r="AN60" s="45">
        <f t="shared" si="26"/>
        <v>272.72727272727275</v>
      </c>
      <c r="AO60" s="44">
        <f>VLOOKUP(D60,[1]apoio_Preços_MGS!$A$6:$AN$238,40,FALSE)</f>
        <v>545.99</v>
      </c>
      <c r="AP60" s="44">
        <f>IF(J60="demais municípios",VLOOKUP(D60,[1]apoio_Preços_MGS!$A$6:$AN$238,40,FALSE),0)</f>
        <v>545.99</v>
      </c>
      <c r="AQ60" s="44">
        <v>0</v>
      </c>
      <c r="AR60" s="45">
        <f t="shared" si="27"/>
        <v>1091.98</v>
      </c>
      <c r="AS60" s="45">
        <f t="shared" si="10"/>
        <v>1364.7072727272728</v>
      </c>
      <c r="AT60" s="45">
        <f t="shared" si="13"/>
        <v>81882.436363636371</v>
      </c>
      <c r="AU60" s="62"/>
      <c r="AV60" s="46"/>
      <c r="AW60" s="47"/>
      <c r="AX60" s="48"/>
      <c r="AY60" s="49"/>
      <c r="BA60" s="48"/>
    </row>
    <row r="61" spans="1:53" ht="19.5" customHeight="1" x14ac:dyDescent="0.25">
      <c r="A61" s="33" t="str">
        <f t="shared" si="0"/>
        <v>106437300,05</v>
      </c>
      <c r="B61" s="33" t="str">
        <f t="shared" si="1"/>
        <v>3520,05</v>
      </c>
      <c r="C61" s="34" t="str">
        <f>VLOOKUP(D61,[1]apoio_Preços_MGS!$A$6:$B$238,2,FALSE)</f>
        <v>ANALISTA ESPECIALIZADO EM CIÊNCIAS HUMANAS</v>
      </c>
      <c r="D61" s="35">
        <v>352</v>
      </c>
      <c r="E61" s="33" t="str">
        <f>VLOOKUP(D61,[1]apoio_Preços_MGS!$A$6:$F$238,6,FALSE)</f>
        <v>ANALISTA ESPECIALIZADO EM CIÊNCIAS HUMANAS - DIARISTA DIURNO - 30H</v>
      </c>
      <c r="F61" s="36">
        <f>IFERROR(VLOOKUP(D61,'[1]apoio_cód catmas'!$B$2:$C$863,2,FALSE),0)</f>
        <v>106437</v>
      </c>
      <c r="G61" s="33" t="str">
        <f>IF(H61="N/A",VLOOKUP(F61&amp;40,'[1]apoio_cód catmas'!$A$1:$G$233,4,FALSE),VLOOKUP(F61&amp;H61,'[1]apoio_cód catmas'!$A$1:$G$233,4,FALSE))</f>
        <v>ANALISTA ESPECIALIZADO EM CIENCIAS HUMANAS - 30H, 36H, 40H E 44H.</v>
      </c>
      <c r="H61" s="36">
        <v>30</v>
      </c>
      <c r="I61" s="37">
        <v>0.05</v>
      </c>
      <c r="J61" s="38" t="s">
        <v>46</v>
      </c>
      <c r="K61" s="39">
        <v>2</v>
      </c>
      <c r="L61" s="39">
        <f>K61*56</f>
        <v>112</v>
      </c>
      <c r="M61" s="40">
        <f>VLOOKUP(D61,[1]apoio_Preços_MGS!$A$6:$AN$238,18,FALSE)</f>
        <v>3121.637850769373</v>
      </c>
      <c r="N61" s="40">
        <f>VLOOKUP(D61,[1]apoio_Preços_MGS!$A$6:$AN$238,19,FALSE)</f>
        <v>0</v>
      </c>
      <c r="O61" s="40">
        <f>VLOOKUP(D61,[1]apoio_Preços_MGS!$A$6:$AN$238,20,FALSE)</f>
        <v>0</v>
      </c>
      <c r="P61" s="40">
        <f>VLOOKUP(D61,[1]apoio_Preços_MGS!$A$6:$AN$238,21,FALSE)</f>
        <v>0</v>
      </c>
      <c r="Q61" s="40">
        <f>VLOOKUP(D61,[1]apoio_Preços_MGS!$A$6:$AN$238,22,FALSE)</f>
        <v>0</v>
      </c>
      <c r="R61" s="40">
        <f>VLOOKUP(D61,[1]apoio_Preços_MGS!$A$6:$AN$238,23,FALSE)</f>
        <v>0</v>
      </c>
      <c r="S61" s="40">
        <f>VLOOKUP(D61,[1]apoio_Preços_MGS!$A$6:$AN$238,24,FALSE)</f>
        <v>0</v>
      </c>
      <c r="T61" s="40">
        <f>VLOOKUP(D61,[1]apoio_Preços_MGS!$A$6:$AN$238,25,FALSE)</f>
        <v>0</v>
      </c>
      <c r="U61" s="40">
        <f t="shared" si="3"/>
        <v>3121.637850769373</v>
      </c>
      <c r="V61" s="41">
        <f>VLOOKUP(D61,[1]apoio_Preços_MGS!$A$6:$AN$238,27,FALSE)</f>
        <v>0.81799999999999995</v>
      </c>
      <c r="W61" s="40">
        <f t="shared" si="4"/>
        <v>2553.4997619293472</v>
      </c>
      <c r="X61" s="40">
        <f>VLOOKUP(D61,[1]apoio_Preços_MGS!$A$6:$AN$238,29,FALSE)</f>
        <v>0</v>
      </c>
      <c r="Y61" s="40">
        <f>VLOOKUP(D61,[1]apoio_Preços_MGS!$A$6:$AN$238,30,FALSE)</f>
        <v>0</v>
      </c>
      <c r="Z61" s="40">
        <f t="shared" si="5"/>
        <v>0</v>
      </c>
      <c r="AA61" s="40">
        <f>VLOOKUP(D61,[1]apoio_Preços_MGS!$A$6:$AN$238,32,FALSE)</f>
        <v>5.9935446734771958</v>
      </c>
      <c r="AB61" s="40">
        <f>VLOOKUP(D61,[1]apoio_Preços_MGS!$A$6:$AN$238,33,FALSE)</f>
        <v>122.12538239538233</v>
      </c>
      <c r="AC61" s="41">
        <f>VLOOKUP(D61,[1]apoio_Preços_MGS!$A$6:$AN$238,34,FALSE)</f>
        <v>0</v>
      </c>
      <c r="AD61" s="40">
        <f>(U61+W61+Z61+AB61+AA61+VLOOKUP(C61,[1]apoio_Prec_Folha!$A:$S,7,FALSE))*AC61</f>
        <v>0</v>
      </c>
      <c r="AE61" s="42">
        <f>VLOOKUP(D61,[1]apoio_Preços_MGS!$A$6:$AN$238,36,FALSE)</f>
        <v>7.0000000000000007E-2</v>
      </c>
      <c r="AF61" s="40">
        <f>(U61+W61+Z61+AB61+AD61+AA61+VLOOKUP(C61,[1]apoio_Prec_Folha!$A:$S,7,FALSE))*AE61</f>
        <v>444.44785778373063</v>
      </c>
      <c r="AG61" s="40">
        <f t="shared" si="6"/>
        <v>6247.7</v>
      </c>
      <c r="AH61" s="43">
        <f t="shared" si="7"/>
        <v>7285.94</v>
      </c>
      <c r="AI61" s="43">
        <f t="shared" si="8"/>
        <v>14571.88</v>
      </c>
      <c r="AJ61" s="43">
        <f t="shared" si="9"/>
        <v>816025.27999999991</v>
      </c>
      <c r="AK61" s="44">
        <f>VLOOKUP(D61,[1]apoio_Preços_MGS!$A$6:$AN$238,39,FALSE)</f>
        <v>136.36363636363637</v>
      </c>
      <c r="AL61" s="44">
        <f>IF(J61="demais municípios",VLOOKUP(D61,[1]apoio_Preços_MGS!$A$6:$AN$238,39,FALSE),0)</f>
        <v>136.36363636363637</v>
      </c>
      <c r="AM61" s="44">
        <v>0</v>
      </c>
      <c r="AN61" s="45">
        <f t="shared" si="26"/>
        <v>272.72727272727275</v>
      </c>
      <c r="AO61" s="44">
        <f>VLOOKUP(D61,[1]apoio_Preços_MGS!$A$6:$AN$238,40,FALSE)</f>
        <v>545.99</v>
      </c>
      <c r="AP61" s="44">
        <f>IF(J61="demais municípios",VLOOKUP(D61,[1]apoio_Preços_MGS!$A$6:$AN$238,40,FALSE),0)</f>
        <v>545.99</v>
      </c>
      <c r="AQ61" s="44">
        <v>0</v>
      </c>
      <c r="AR61" s="45">
        <f t="shared" si="27"/>
        <v>1091.98</v>
      </c>
      <c r="AS61" s="45">
        <f t="shared" si="10"/>
        <v>1364.7072727272728</v>
      </c>
      <c r="AT61" s="45">
        <f t="shared" si="13"/>
        <v>81882.436363636371</v>
      </c>
      <c r="AU61" s="62"/>
      <c r="AV61" s="46"/>
      <c r="AW61" s="47"/>
      <c r="AX61" s="48"/>
      <c r="AY61" s="49"/>
      <c r="BA61" s="48"/>
    </row>
    <row r="62" spans="1:53" ht="19.5" customHeight="1" x14ac:dyDescent="0.25">
      <c r="A62" s="33" t="str">
        <f t="shared" si="0"/>
        <v>106437300,05</v>
      </c>
      <c r="B62" s="33" t="str">
        <f t="shared" si="1"/>
        <v>3520,05</v>
      </c>
      <c r="C62" s="34" t="str">
        <f>VLOOKUP(D62,[1]apoio_Preços_MGS!$A$6:$B$238,2,FALSE)</f>
        <v>ANALISTA ESPECIALIZADO EM CIÊNCIAS HUMANAS</v>
      </c>
      <c r="D62" s="35">
        <v>352</v>
      </c>
      <c r="E62" s="33" t="str">
        <f>VLOOKUP(D62,[1]apoio_Preços_MGS!$A$6:$F$238,6,FALSE)</f>
        <v>ANALISTA ESPECIALIZADO EM CIÊNCIAS HUMANAS - DIARISTA DIURNO - 30H</v>
      </c>
      <c r="F62" s="36">
        <f>IFERROR(VLOOKUP(D62,'[1]apoio_cód catmas'!$B$2:$C$863,2,FALSE),0)</f>
        <v>106437</v>
      </c>
      <c r="G62" s="33" t="str">
        <f>IF(H62="N/A",VLOOKUP(F62&amp;40,'[1]apoio_cód catmas'!$A$1:$G$233,4,FALSE),VLOOKUP(F62&amp;H62,'[1]apoio_cód catmas'!$A$1:$G$233,4,FALSE))</f>
        <v>ANALISTA ESPECIALIZADO EM CIENCIAS HUMANAS - 30H, 36H, 40H E 44H.</v>
      </c>
      <c r="H62" s="36">
        <v>30</v>
      </c>
      <c r="I62" s="37">
        <v>0.05</v>
      </c>
      <c r="J62" s="38" t="s">
        <v>46</v>
      </c>
      <c r="K62" s="39">
        <f>17-K63</f>
        <v>4</v>
      </c>
      <c r="L62" s="39">
        <f t="shared" si="2"/>
        <v>240</v>
      </c>
      <c r="M62" s="40">
        <f>VLOOKUP(D62,[1]apoio_Preços_MGS!$A$6:$AN$238,18,FALSE)</f>
        <v>3121.637850769373</v>
      </c>
      <c r="N62" s="40">
        <f>VLOOKUP(D62,[1]apoio_Preços_MGS!$A$6:$AN$238,19,FALSE)</f>
        <v>0</v>
      </c>
      <c r="O62" s="40">
        <f>VLOOKUP(D62,[1]apoio_Preços_MGS!$A$6:$AN$238,20,FALSE)</f>
        <v>0</v>
      </c>
      <c r="P62" s="40">
        <f>VLOOKUP(D62,[1]apoio_Preços_MGS!$A$6:$AN$238,21,FALSE)</f>
        <v>0</v>
      </c>
      <c r="Q62" s="40">
        <f>VLOOKUP(D62,[1]apoio_Preços_MGS!$A$6:$AN$238,22,FALSE)</f>
        <v>0</v>
      </c>
      <c r="R62" s="40">
        <f>VLOOKUP(D62,[1]apoio_Preços_MGS!$A$6:$AN$238,23,FALSE)</f>
        <v>0</v>
      </c>
      <c r="S62" s="40">
        <f>VLOOKUP(D62,[1]apoio_Preços_MGS!$A$6:$AN$238,24,FALSE)</f>
        <v>0</v>
      </c>
      <c r="T62" s="40">
        <f>VLOOKUP(D62,[1]apoio_Preços_MGS!$A$6:$AN$238,25,FALSE)</f>
        <v>0</v>
      </c>
      <c r="U62" s="40">
        <f t="shared" si="3"/>
        <v>3121.637850769373</v>
      </c>
      <c r="V62" s="41">
        <f>VLOOKUP(D62,[1]apoio_Preços_MGS!$A$6:$AN$238,27,FALSE)</f>
        <v>0.81799999999999995</v>
      </c>
      <c r="W62" s="40">
        <f t="shared" si="4"/>
        <v>2553.4997619293472</v>
      </c>
      <c r="X62" s="40">
        <f>VLOOKUP(D62,[1]apoio_Preços_MGS!$A$6:$AN$238,29,FALSE)</f>
        <v>0</v>
      </c>
      <c r="Y62" s="40">
        <f>VLOOKUP(D62,[1]apoio_Preços_MGS!$A$6:$AN$238,30,FALSE)</f>
        <v>0</v>
      </c>
      <c r="Z62" s="40">
        <f t="shared" si="5"/>
        <v>0</v>
      </c>
      <c r="AA62" s="40">
        <f>VLOOKUP(D62,[1]apoio_Preços_MGS!$A$6:$AN$238,32,FALSE)</f>
        <v>5.9935446734771958</v>
      </c>
      <c r="AB62" s="40">
        <f>VLOOKUP(D62,[1]apoio_Preços_MGS!$A$6:$AN$238,33,FALSE)</f>
        <v>122.12538239538233</v>
      </c>
      <c r="AC62" s="41">
        <f>VLOOKUP(D62,[1]apoio_Preços_MGS!$A$6:$AN$238,34,FALSE)</f>
        <v>0</v>
      </c>
      <c r="AD62" s="40">
        <f>(U62+W62+Z62+AB62+AA62+VLOOKUP(C62,[1]apoio_Prec_Folha!$A:$S,7,FALSE))*AC62</f>
        <v>0</v>
      </c>
      <c r="AE62" s="42">
        <f>VLOOKUP(D62,[1]apoio_Preços_MGS!$A$6:$AN$238,36,FALSE)</f>
        <v>7.0000000000000007E-2</v>
      </c>
      <c r="AF62" s="40">
        <f>(U62+W62+Z62+AB62+AD62+AA62+VLOOKUP(C62,[1]apoio_Prec_Folha!$A:$S,7,FALSE))*AE62</f>
        <v>444.44785778373063</v>
      </c>
      <c r="AG62" s="40">
        <f t="shared" si="6"/>
        <v>6247.7</v>
      </c>
      <c r="AH62" s="43">
        <f t="shared" si="7"/>
        <v>7285.94</v>
      </c>
      <c r="AI62" s="43">
        <f t="shared" si="8"/>
        <v>29143.759999999998</v>
      </c>
      <c r="AJ62" s="43">
        <f t="shared" si="9"/>
        <v>1748625.5999999999</v>
      </c>
      <c r="AK62" s="44">
        <f>VLOOKUP(D62,[1]apoio_Preços_MGS!$A$6:$AN$238,39,FALSE)</f>
        <v>136.36363636363637</v>
      </c>
      <c r="AL62" s="44">
        <f>IF(J62="demais municípios",VLOOKUP(D62,[1]apoio_Preços_MGS!$A$6:$AN$238,39,FALSE),0)</f>
        <v>136.36363636363637</v>
      </c>
      <c r="AM62" s="44">
        <v>0</v>
      </c>
      <c r="AN62" s="45">
        <f t="shared" si="26"/>
        <v>545.4545454545455</v>
      </c>
      <c r="AO62" s="44">
        <f>VLOOKUP(D62,[1]apoio_Preços_MGS!$A$6:$AN$238,40,FALSE)</f>
        <v>545.99</v>
      </c>
      <c r="AP62" s="44">
        <f>IF(J62="demais municípios",VLOOKUP(D62,[1]apoio_Preços_MGS!$A$6:$AN$238,40,FALSE),0)</f>
        <v>545.99</v>
      </c>
      <c r="AQ62" s="44">
        <v>0</v>
      </c>
      <c r="AR62" s="45">
        <f t="shared" si="27"/>
        <v>2183.96</v>
      </c>
      <c r="AS62" s="45">
        <f t="shared" si="10"/>
        <v>2729.4145454545455</v>
      </c>
      <c r="AT62" s="45">
        <f t="shared" si="13"/>
        <v>163764.87272727274</v>
      </c>
      <c r="AU62" s="62"/>
      <c r="AV62" s="46"/>
      <c r="AW62" s="47"/>
      <c r="AX62" s="48"/>
      <c r="AY62" s="49"/>
      <c r="BA62" s="48"/>
    </row>
    <row r="63" spans="1:53" ht="19.5" customHeight="1" x14ac:dyDescent="0.25">
      <c r="A63" s="33" t="str">
        <f t="shared" si="0"/>
        <v>106437300,05</v>
      </c>
      <c r="B63" s="33" t="str">
        <f t="shared" si="1"/>
        <v>3520,05</v>
      </c>
      <c r="C63" s="34" t="str">
        <f>VLOOKUP(D63,[1]apoio_Preços_MGS!$A$6:$B$238,2,FALSE)</f>
        <v>ANALISTA ESPECIALIZADO EM CIÊNCIAS HUMANAS</v>
      </c>
      <c r="D63" s="35">
        <v>352</v>
      </c>
      <c r="E63" s="33" t="str">
        <f>VLOOKUP(D63,[1]apoio_Preços_MGS!$A$6:$F$238,6,FALSE)</f>
        <v>ANALISTA ESPECIALIZADO EM CIÊNCIAS HUMANAS - DIARISTA DIURNO - 30H</v>
      </c>
      <c r="F63" s="36">
        <f>IFERROR(VLOOKUP(D63,'[1]apoio_cód catmas'!$B$2:$C$863,2,FALSE),0)</f>
        <v>106437</v>
      </c>
      <c r="G63" s="33" t="str">
        <f>IF(H63="N/A",VLOOKUP(F63&amp;40,'[1]apoio_cód catmas'!$A$1:$G$233,4,FALSE),VLOOKUP(F63&amp;H63,'[1]apoio_cód catmas'!$A$1:$G$233,4,FALSE))</f>
        <v>ANALISTA ESPECIALIZADO EM CIENCIAS HUMANAS - 30H, 36H, 40H E 44H.</v>
      </c>
      <c r="H63" s="36">
        <v>30</v>
      </c>
      <c r="I63" s="37">
        <v>0.05</v>
      </c>
      <c r="J63" s="38" t="s">
        <v>47</v>
      </c>
      <c r="K63" s="39">
        <v>13</v>
      </c>
      <c r="L63" s="39">
        <f t="shared" si="2"/>
        <v>780</v>
      </c>
      <c r="M63" s="40">
        <f>VLOOKUP(D63,[1]apoio_Preços_MGS!$A$6:$AN$238,18,FALSE)</f>
        <v>3121.637850769373</v>
      </c>
      <c r="N63" s="40">
        <f>VLOOKUP(D63,[1]apoio_Preços_MGS!$A$6:$AN$238,19,FALSE)</f>
        <v>0</v>
      </c>
      <c r="O63" s="40">
        <f>VLOOKUP(D63,[1]apoio_Preços_MGS!$A$6:$AN$238,20,FALSE)</f>
        <v>0</v>
      </c>
      <c r="P63" s="40">
        <f>VLOOKUP(D63,[1]apoio_Preços_MGS!$A$6:$AN$238,21,FALSE)</f>
        <v>0</v>
      </c>
      <c r="Q63" s="40">
        <f>VLOOKUP(D63,[1]apoio_Preços_MGS!$A$6:$AN$238,22,FALSE)</f>
        <v>0</v>
      </c>
      <c r="R63" s="40">
        <f>VLOOKUP(D63,[1]apoio_Preços_MGS!$A$6:$AN$238,23,FALSE)</f>
        <v>0</v>
      </c>
      <c r="S63" s="40">
        <f>VLOOKUP(D63,[1]apoio_Preços_MGS!$A$6:$AN$238,24,FALSE)</f>
        <v>0</v>
      </c>
      <c r="T63" s="40">
        <f>VLOOKUP(D63,[1]apoio_Preços_MGS!$A$6:$AN$238,25,FALSE)</f>
        <v>0</v>
      </c>
      <c r="U63" s="40">
        <f t="shared" si="3"/>
        <v>3121.637850769373</v>
      </c>
      <c r="V63" s="41">
        <f>VLOOKUP(D63,[1]apoio_Preços_MGS!$A$6:$AN$238,27,FALSE)</f>
        <v>0.81799999999999995</v>
      </c>
      <c r="W63" s="40">
        <f t="shared" si="4"/>
        <v>2553.4997619293472</v>
      </c>
      <c r="X63" s="40">
        <f>VLOOKUP(D63,[1]apoio_Preços_MGS!$A$6:$AN$238,29,FALSE)</f>
        <v>0</v>
      </c>
      <c r="Y63" s="40">
        <f>VLOOKUP(D63,[1]apoio_Preços_MGS!$A$6:$AN$238,30,FALSE)</f>
        <v>0</v>
      </c>
      <c r="Z63" s="40">
        <f t="shared" si="5"/>
        <v>0</v>
      </c>
      <c r="AA63" s="40">
        <f>VLOOKUP(D63,[1]apoio_Preços_MGS!$A$6:$AN$238,32,FALSE)</f>
        <v>5.9935446734771958</v>
      </c>
      <c r="AB63" s="40">
        <f>VLOOKUP(D63,[1]apoio_Preços_MGS!$A$6:$AN$238,33,FALSE)</f>
        <v>122.12538239538233</v>
      </c>
      <c r="AC63" s="41">
        <f>VLOOKUP(D63,[1]apoio_Preços_MGS!$A$6:$AN$238,34,FALSE)</f>
        <v>0</v>
      </c>
      <c r="AD63" s="40">
        <f>(U63+W63+Z63+AB63+AA63+VLOOKUP(C63,[1]apoio_Prec_Folha!$A:$S,7,FALSE))*AC63</f>
        <v>0</v>
      </c>
      <c r="AE63" s="42">
        <f>VLOOKUP(D63,[1]apoio_Preços_MGS!$A$6:$AN$238,36,FALSE)</f>
        <v>7.0000000000000007E-2</v>
      </c>
      <c r="AF63" s="40">
        <f>(U63+W63+Z63+AB63+AD63+AA63+VLOOKUP(C63,[1]apoio_Prec_Folha!$A:$S,7,FALSE))*AE63</f>
        <v>444.44785778373063</v>
      </c>
      <c r="AG63" s="40">
        <f t="shared" si="6"/>
        <v>6247.7</v>
      </c>
      <c r="AH63" s="43">
        <f t="shared" si="7"/>
        <v>7285.94</v>
      </c>
      <c r="AI63" s="43">
        <f t="shared" si="8"/>
        <v>94717.22</v>
      </c>
      <c r="AJ63" s="43">
        <f t="shared" si="9"/>
        <v>5683033.1999999993</v>
      </c>
      <c r="AK63" s="44">
        <f>VLOOKUP(D63,[1]apoio_Preços_MGS!$A$6:$AN$238,39,FALSE)</f>
        <v>136.36363636363637</v>
      </c>
      <c r="AL63" s="44">
        <f>IF(J63="demais municípios",VLOOKUP(D63,[1]apoio_Preços_MGS!$A$6:$AN$238,39,FALSE),0)</f>
        <v>0</v>
      </c>
      <c r="AM63" s="44">
        <f>TRUNC(ROUND(($I63)/(1-($I63)),5)*VLOOKUP(D63,[1]apoio_Preços_MGS!$A$6:$AN$238,39,FALSE)+VLOOKUP(D63,[1]apoio_Preços_MGS!$A$6:$AN$238,39,FALSE),2)</f>
        <v>143.54</v>
      </c>
      <c r="AN63" s="45">
        <f t="shared" si="14"/>
        <v>1866.02</v>
      </c>
      <c r="AO63" s="44">
        <f>VLOOKUP(D63,[1]apoio_Preços_MGS!$A$6:$AN$238,40,FALSE)</f>
        <v>545.99</v>
      </c>
      <c r="AP63" s="44">
        <f>IF(J63="demais municípios",VLOOKUP(D63,[1]apoio_Preços_MGS!$A$6:$AN$238,40,FALSE),0)</f>
        <v>0</v>
      </c>
      <c r="AQ63" s="44">
        <f>TRUNC(ROUND(($I63)/(1-($I63)),5)*VLOOKUP(D63,[1]apoio_Preços_MGS!$A$6:$AN$238,40,FALSE)+VLOOKUP(D63,[1]apoio_Preços_MGS!$A$6:$AN$238,40,FALSE),2)</f>
        <v>574.72</v>
      </c>
      <c r="AR63" s="45">
        <f t="shared" si="15"/>
        <v>7471.3600000000006</v>
      </c>
      <c r="AS63" s="45">
        <f t="shared" si="10"/>
        <v>9337.380000000001</v>
      </c>
      <c r="AT63" s="45">
        <f t="shared" si="13"/>
        <v>560242.80000000005</v>
      </c>
      <c r="AU63" s="62"/>
      <c r="AV63" s="46"/>
      <c r="AW63" s="47"/>
      <c r="AX63" s="48"/>
      <c r="AY63" s="49"/>
      <c r="BA63" s="48"/>
    </row>
    <row r="64" spans="1:53" ht="19.5" customHeight="1" x14ac:dyDescent="0.25">
      <c r="A64" s="33" t="str">
        <f t="shared" si="0"/>
        <v>106437400,03</v>
      </c>
      <c r="B64" s="33" t="str">
        <f t="shared" si="1"/>
        <v>3540,03</v>
      </c>
      <c r="C64" s="34" t="str">
        <f>VLOOKUP(D64,[1]apoio_Preços_MGS!$A$6:$B$238,2,FALSE)</f>
        <v>ANALISTA ESPECIALIZADO EM CIÊNCIAS HUMANAS</v>
      </c>
      <c r="D64" s="35">
        <v>354</v>
      </c>
      <c r="E64" s="33" t="str">
        <f>VLOOKUP(D64,[1]apoio_Preços_MGS!$A$6:$F$238,6,FALSE)</f>
        <v>ANALISTA ESPECIALIZADO EM CIÊNCIAS HUMANAS - DIARISTA DIURNO - 40H</v>
      </c>
      <c r="F64" s="36">
        <f>IFERROR(VLOOKUP(D64,'[1]apoio_cód catmas'!$B$2:$C$863,2,FALSE),0)</f>
        <v>106437</v>
      </c>
      <c r="G64" s="33" t="str">
        <f>IF(H64="N/A",VLOOKUP(F64&amp;40,'[1]apoio_cód catmas'!$A$1:$G$233,4,FALSE),VLOOKUP(F64&amp;H64,'[1]apoio_cód catmas'!$A$1:$G$233,4,FALSE))</f>
        <v>ANALISTA ESPECIALIZADO EM CIENCIAS HUMANAS - 30H, 36H, 40H E 44H.</v>
      </c>
      <c r="H64" s="36">
        <v>40</v>
      </c>
      <c r="I64" s="37">
        <v>0.03</v>
      </c>
      <c r="J64" s="38" t="s">
        <v>46</v>
      </c>
      <c r="K64" s="39">
        <f>11-2</f>
        <v>9</v>
      </c>
      <c r="L64" s="39">
        <f t="shared" si="2"/>
        <v>540</v>
      </c>
      <c r="M64" s="40">
        <f>VLOOKUP(D64,[1]apoio_Preços_MGS!$A$6:$AN$238,18,FALSE)</f>
        <v>4162.1838010258307</v>
      </c>
      <c r="N64" s="40">
        <f>VLOOKUP(D64,[1]apoio_Preços_MGS!$A$6:$AN$238,19,FALSE)</f>
        <v>0</v>
      </c>
      <c r="O64" s="40">
        <f>VLOOKUP(D64,[1]apoio_Preços_MGS!$A$6:$AN$238,20,FALSE)</f>
        <v>0</v>
      </c>
      <c r="P64" s="40">
        <f>VLOOKUP(D64,[1]apoio_Preços_MGS!$A$6:$AN$238,21,FALSE)</f>
        <v>0</v>
      </c>
      <c r="Q64" s="40">
        <f>VLOOKUP(D64,[1]apoio_Preços_MGS!$A$6:$AN$238,22,FALSE)</f>
        <v>0</v>
      </c>
      <c r="R64" s="40">
        <f>VLOOKUP(D64,[1]apoio_Preços_MGS!$A$6:$AN$238,23,FALSE)</f>
        <v>0</v>
      </c>
      <c r="S64" s="40">
        <f>VLOOKUP(D64,[1]apoio_Preços_MGS!$A$6:$AN$238,24,FALSE)</f>
        <v>0</v>
      </c>
      <c r="T64" s="40">
        <f>VLOOKUP(D64,[1]apoio_Preços_MGS!$A$6:$AN$238,25,FALSE)</f>
        <v>0</v>
      </c>
      <c r="U64" s="40">
        <f t="shared" si="3"/>
        <v>4162.1838010258307</v>
      </c>
      <c r="V64" s="41">
        <f>VLOOKUP(D64,[1]apoio_Preços_MGS!$A$6:$AN$238,27,FALSE)</f>
        <v>0.81799999999999995</v>
      </c>
      <c r="W64" s="40">
        <f t="shared" si="4"/>
        <v>3404.6663492391294</v>
      </c>
      <c r="X64" s="40">
        <f>VLOOKUP(D64,[1]apoio_Preços_MGS!$A$6:$AN$238,29,FALSE)</f>
        <v>0</v>
      </c>
      <c r="Y64" s="40">
        <f>VLOOKUP(D64,[1]apoio_Preços_MGS!$A$6:$AN$238,30,FALSE)</f>
        <v>0</v>
      </c>
      <c r="Z64" s="40">
        <f t="shared" si="5"/>
        <v>0</v>
      </c>
      <c r="AA64" s="40">
        <f>VLOOKUP(D64,[1]apoio_Preços_MGS!$A$6:$AN$238,32,FALSE)</f>
        <v>7.9913928979695941</v>
      </c>
      <c r="AB64" s="40">
        <f>VLOOKUP(D64,[1]apoio_Preços_MGS!$A$6:$AN$238,33,FALSE)</f>
        <v>96.307705627705559</v>
      </c>
      <c r="AC64" s="41">
        <f>VLOOKUP(D64,[1]apoio_Preços_MGS!$A$6:$AN$238,34,FALSE)</f>
        <v>0</v>
      </c>
      <c r="AD64" s="40">
        <f>(U64+W64+Z64+AB64+AA64+VLOOKUP(C64,[1]apoio_Prec_Folha!$A:$S,7,FALSE))*AC64</f>
        <v>0</v>
      </c>
      <c r="AE64" s="42">
        <f>VLOOKUP(D64,[1]apoio_Preços_MGS!$A$6:$AN$238,36,FALSE)</f>
        <v>7.0000000000000007E-2</v>
      </c>
      <c r="AF64" s="40">
        <f>(U64+W64+Z64+AB64+AD64+AA64+VLOOKUP(C64,[1]apoio_Prec_Folha!$A:$S,7,FALSE))*AE64</f>
        <v>575.20034741534448</v>
      </c>
      <c r="AG64" s="40">
        <f t="shared" si="6"/>
        <v>8246.34</v>
      </c>
      <c r="AH64" s="43">
        <f t="shared" si="7"/>
        <v>9397.52</v>
      </c>
      <c r="AI64" s="43">
        <f t="shared" si="8"/>
        <v>84577.680000000008</v>
      </c>
      <c r="AJ64" s="43">
        <f t="shared" si="9"/>
        <v>5074660.8</v>
      </c>
      <c r="AK64" s="44">
        <f>VLOOKUP(D64,[1]apoio_Preços_MGS!$A$6:$AN$238,39,FALSE)</f>
        <v>181.81818181818184</v>
      </c>
      <c r="AL64" s="44">
        <f>IF(J64="demais municípios",VLOOKUP(D64,[1]apoio_Preços_MGS!$A$6:$AN$238,39,FALSE),0)</f>
        <v>181.81818181818184</v>
      </c>
      <c r="AM64" s="44">
        <v>0</v>
      </c>
      <c r="AN64" s="45">
        <f t="shared" ref="AN64:AN66" si="28">AK64*K64</f>
        <v>1636.3636363636365</v>
      </c>
      <c r="AO64" s="44">
        <f>VLOOKUP(D64,[1]apoio_Preços_MGS!$A$6:$AN$238,40,FALSE)</f>
        <v>545.99</v>
      </c>
      <c r="AP64" s="44">
        <f>IF(J64="demais municípios",VLOOKUP(D64,[1]apoio_Preços_MGS!$A$6:$AN$238,40,FALSE),0)</f>
        <v>545.99</v>
      </c>
      <c r="AQ64" s="44">
        <v>0</v>
      </c>
      <c r="AR64" s="45">
        <f t="shared" ref="AR64:AR66" si="29">AO64*K64</f>
        <v>4913.91</v>
      </c>
      <c r="AS64" s="45">
        <f t="shared" si="10"/>
        <v>6550.2736363636359</v>
      </c>
      <c r="AT64" s="45">
        <f t="shared" si="13"/>
        <v>393016.41818181815</v>
      </c>
      <c r="AU64" s="62"/>
      <c r="AV64" s="46"/>
      <c r="AW64" s="47"/>
      <c r="AX64" s="48"/>
      <c r="AY64" s="49"/>
      <c r="BA64" s="48"/>
    </row>
    <row r="65" spans="1:53" ht="19.5" customHeight="1" x14ac:dyDescent="0.25">
      <c r="A65" s="33" t="str">
        <f t="shared" si="0"/>
        <v>106437400,05</v>
      </c>
      <c r="B65" s="33" t="str">
        <f t="shared" si="1"/>
        <v>3540,05</v>
      </c>
      <c r="C65" s="34" t="str">
        <f>VLOOKUP(D65,[1]apoio_Preços_MGS!$A$6:$B$238,2,FALSE)</f>
        <v>ANALISTA ESPECIALIZADO EM CIÊNCIAS HUMANAS</v>
      </c>
      <c r="D65" s="35">
        <v>354</v>
      </c>
      <c r="E65" s="33" t="str">
        <f>VLOOKUP(D65,[1]apoio_Preços_MGS!$A$6:$F$238,6,FALSE)</f>
        <v>ANALISTA ESPECIALIZADO EM CIÊNCIAS HUMANAS - DIARISTA DIURNO - 40H</v>
      </c>
      <c r="F65" s="36">
        <f>IFERROR(VLOOKUP(D65,'[1]apoio_cód catmas'!$B$2:$C$863,2,FALSE),0)</f>
        <v>106437</v>
      </c>
      <c r="G65" s="33" t="str">
        <f>IF(H65="N/A",VLOOKUP(F65&amp;40,'[1]apoio_cód catmas'!$A$1:$G$233,4,FALSE),VLOOKUP(F65&amp;H65,'[1]apoio_cód catmas'!$A$1:$G$233,4,FALSE))</f>
        <v>ANALISTA ESPECIALIZADO EM CIENCIAS HUMANAS - 30H, 36H, 40H E 44H.</v>
      </c>
      <c r="H65" s="36">
        <v>40</v>
      </c>
      <c r="I65" s="37">
        <v>0.05</v>
      </c>
      <c r="J65" s="38" t="s">
        <v>46</v>
      </c>
      <c r="K65" s="39">
        <v>2</v>
      </c>
      <c r="L65" s="39">
        <f>K65*56</f>
        <v>112</v>
      </c>
      <c r="M65" s="40">
        <f>VLOOKUP(D65,[1]apoio_Preços_MGS!$A$6:$AN$238,18,FALSE)</f>
        <v>4162.1838010258307</v>
      </c>
      <c r="N65" s="40">
        <f>VLOOKUP(D65,[1]apoio_Preços_MGS!$A$6:$AN$238,19,FALSE)</f>
        <v>0</v>
      </c>
      <c r="O65" s="40">
        <f>VLOOKUP(D65,[1]apoio_Preços_MGS!$A$6:$AN$238,20,FALSE)</f>
        <v>0</v>
      </c>
      <c r="P65" s="40">
        <f>VLOOKUP(D65,[1]apoio_Preços_MGS!$A$6:$AN$238,21,FALSE)</f>
        <v>0</v>
      </c>
      <c r="Q65" s="40">
        <f>VLOOKUP(D65,[1]apoio_Preços_MGS!$A$6:$AN$238,22,FALSE)</f>
        <v>0</v>
      </c>
      <c r="R65" s="40">
        <f>VLOOKUP(D65,[1]apoio_Preços_MGS!$A$6:$AN$238,23,FALSE)</f>
        <v>0</v>
      </c>
      <c r="S65" s="40">
        <f>VLOOKUP(D65,[1]apoio_Preços_MGS!$A$6:$AN$238,24,FALSE)</f>
        <v>0</v>
      </c>
      <c r="T65" s="40">
        <f>VLOOKUP(D65,[1]apoio_Preços_MGS!$A$6:$AN$238,25,FALSE)</f>
        <v>0</v>
      </c>
      <c r="U65" s="40">
        <f t="shared" si="3"/>
        <v>4162.1838010258307</v>
      </c>
      <c r="V65" s="41">
        <f>VLOOKUP(D65,[1]apoio_Preços_MGS!$A$6:$AN$238,27,FALSE)</f>
        <v>0.81799999999999995</v>
      </c>
      <c r="W65" s="40">
        <f t="shared" si="4"/>
        <v>3404.6663492391294</v>
      </c>
      <c r="X65" s="40">
        <f>VLOOKUP(D65,[1]apoio_Preços_MGS!$A$6:$AN$238,29,FALSE)</f>
        <v>0</v>
      </c>
      <c r="Y65" s="40">
        <f>VLOOKUP(D65,[1]apoio_Preços_MGS!$A$6:$AN$238,30,FALSE)</f>
        <v>0</v>
      </c>
      <c r="Z65" s="40">
        <f t="shared" si="5"/>
        <v>0</v>
      </c>
      <c r="AA65" s="40">
        <f>VLOOKUP(D65,[1]apoio_Preços_MGS!$A$6:$AN$238,32,FALSE)</f>
        <v>7.9913928979695941</v>
      </c>
      <c r="AB65" s="40">
        <f>VLOOKUP(D65,[1]apoio_Preços_MGS!$A$6:$AN$238,33,FALSE)</f>
        <v>96.307705627705559</v>
      </c>
      <c r="AC65" s="41">
        <f>VLOOKUP(D65,[1]apoio_Preços_MGS!$A$6:$AN$238,34,FALSE)</f>
        <v>0</v>
      </c>
      <c r="AD65" s="40">
        <f>(U65+W65+Z65+AB65+AA65+VLOOKUP(C65,[1]apoio_Prec_Folha!$A:$S,7,FALSE))*AC65</f>
        <v>0</v>
      </c>
      <c r="AE65" s="42">
        <f>VLOOKUP(D65,[1]apoio_Preços_MGS!$A$6:$AN$238,36,FALSE)</f>
        <v>7.0000000000000007E-2</v>
      </c>
      <c r="AF65" s="40">
        <f>(U65+W65+Z65+AB65+AD65+AA65+VLOOKUP(C65,[1]apoio_Prec_Folha!$A:$S,7,FALSE))*AE65</f>
        <v>575.20034741534448</v>
      </c>
      <c r="AG65" s="40">
        <f t="shared" si="6"/>
        <v>8246.34</v>
      </c>
      <c r="AH65" s="43">
        <f t="shared" si="7"/>
        <v>9616.7099999999991</v>
      </c>
      <c r="AI65" s="43">
        <f t="shared" si="8"/>
        <v>19233.419999999998</v>
      </c>
      <c r="AJ65" s="43">
        <f t="shared" si="9"/>
        <v>1077071.52</v>
      </c>
      <c r="AK65" s="44">
        <f>VLOOKUP(D65,[1]apoio_Preços_MGS!$A$6:$AN$238,39,FALSE)</f>
        <v>181.81818181818184</v>
      </c>
      <c r="AL65" s="44">
        <f>IF(J65="demais municípios",VLOOKUP(D65,[1]apoio_Preços_MGS!$A$6:$AN$238,39,FALSE),0)</f>
        <v>181.81818181818184</v>
      </c>
      <c r="AM65" s="44">
        <v>0</v>
      </c>
      <c r="AN65" s="45">
        <f t="shared" si="28"/>
        <v>363.63636363636368</v>
      </c>
      <c r="AO65" s="44">
        <f>VLOOKUP(D65,[1]apoio_Preços_MGS!$A$6:$AN$238,40,FALSE)</f>
        <v>545.99</v>
      </c>
      <c r="AP65" s="44">
        <f>IF(J65="demais municípios",VLOOKUP(D65,[1]apoio_Preços_MGS!$A$6:$AN$238,40,FALSE),0)</f>
        <v>545.99</v>
      </c>
      <c r="AQ65" s="44">
        <v>0</v>
      </c>
      <c r="AR65" s="45">
        <f t="shared" si="29"/>
        <v>1091.98</v>
      </c>
      <c r="AS65" s="45">
        <f t="shared" si="10"/>
        <v>1455.6163636363638</v>
      </c>
      <c r="AT65" s="45">
        <f t="shared" si="13"/>
        <v>87336.981818181826</v>
      </c>
      <c r="AU65" s="62"/>
      <c r="AV65" s="46"/>
      <c r="AW65" s="47"/>
      <c r="AX65" s="48"/>
      <c r="AY65" s="49"/>
      <c r="BA65" s="48"/>
    </row>
    <row r="66" spans="1:53" ht="19.5" customHeight="1" x14ac:dyDescent="0.25">
      <c r="A66" s="33" t="str">
        <f t="shared" si="0"/>
        <v>106437400,05</v>
      </c>
      <c r="B66" s="33" t="str">
        <f t="shared" si="1"/>
        <v>3540,05</v>
      </c>
      <c r="C66" s="34" t="str">
        <f>VLOOKUP(D66,[1]apoio_Preços_MGS!$A$6:$B$238,2,FALSE)</f>
        <v>ANALISTA ESPECIALIZADO EM CIÊNCIAS HUMANAS</v>
      </c>
      <c r="D66" s="35">
        <v>354</v>
      </c>
      <c r="E66" s="33" t="str">
        <f>VLOOKUP(D66,[1]apoio_Preços_MGS!$A$6:$F$238,6,FALSE)</f>
        <v>ANALISTA ESPECIALIZADO EM CIÊNCIAS HUMANAS - DIARISTA DIURNO - 40H</v>
      </c>
      <c r="F66" s="36">
        <f>IFERROR(VLOOKUP(D66,'[1]apoio_cód catmas'!$B$2:$C$863,2,FALSE),0)</f>
        <v>106437</v>
      </c>
      <c r="G66" s="33" t="str">
        <f>IF(H66="N/A",VLOOKUP(F66&amp;40,'[1]apoio_cód catmas'!$A$1:$G$233,4,FALSE),VLOOKUP(F66&amp;H66,'[1]apoio_cód catmas'!$A$1:$G$233,4,FALSE))</f>
        <v>ANALISTA ESPECIALIZADO EM CIENCIAS HUMANAS - 30H, 36H, 40H E 44H.</v>
      </c>
      <c r="H66" s="36">
        <v>40</v>
      </c>
      <c r="I66" s="37">
        <v>0.05</v>
      </c>
      <c r="J66" s="38" t="s">
        <v>46</v>
      </c>
      <c r="K66" s="39">
        <f>89-K67</f>
        <v>4</v>
      </c>
      <c r="L66" s="39">
        <f t="shared" si="2"/>
        <v>240</v>
      </c>
      <c r="M66" s="40">
        <f>VLOOKUP(D66,[1]apoio_Preços_MGS!$A$6:$AN$238,18,FALSE)</f>
        <v>4162.1838010258307</v>
      </c>
      <c r="N66" s="40">
        <f>VLOOKUP(D66,[1]apoio_Preços_MGS!$A$6:$AN$238,19,FALSE)</f>
        <v>0</v>
      </c>
      <c r="O66" s="40">
        <f>VLOOKUP(D66,[1]apoio_Preços_MGS!$A$6:$AN$238,20,FALSE)</f>
        <v>0</v>
      </c>
      <c r="P66" s="40">
        <f>VLOOKUP(D66,[1]apoio_Preços_MGS!$A$6:$AN$238,21,FALSE)</f>
        <v>0</v>
      </c>
      <c r="Q66" s="40">
        <f>VLOOKUP(D66,[1]apoio_Preços_MGS!$A$6:$AN$238,22,FALSE)</f>
        <v>0</v>
      </c>
      <c r="R66" s="40">
        <f>VLOOKUP(D66,[1]apoio_Preços_MGS!$A$6:$AN$238,23,FALSE)</f>
        <v>0</v>
      </c>
      <c r="S66" s="40">
        <f>VLOOKUP(D66,[1]apoio_Preços_MGS!$A$6:$AN$238,24,FALSE)</f>
        <v>0</v>
      </c>
      <c r="T66" s="40">
        <f>VLOOKUP(D66,[1]apoio_Preços_MGS!$A$6:$AN$238,25,FALSE)</f>
        <v>0</v>
      </c>
      <c r="U66" s="40">
        <f t="shared" si="3"/>
        <v>4162.1838010258307</v>
      </c>
      <c r="V66" s="41">
        <f>VLOOKUP(D66,[1]apoio_Preços_MGS!$A$6:$AN$238,27,FALSE)</f>
        <v>0.81799999999999995</v>
      </c>
      <c r="W66" s="40">
        <f t="shared" si="4"/>
        <v>3404.6663492391294</v>
      </c>
      <c r="X66" s="40">
        <f>VLOOKUP(D66,[1]apoio_Preços_MGS!$A$6:$AN$238,29,FALSE)</f>
        <v>0</v>
      </c>
      <c r="Y66" s="40">
        <f>VLOOKUP(D66,[1]apoio_Preços_MGS!$A$6:$AN$238,30,FALSE)</f>
        <v>0</v>
      </c>
      <c r="Z66" s="40">
        <f t="shared" si="5"/>
        <v>0</v>
      </c>
      <c r="AA66" s="40">
        <f>VLOOKUP(D66,[1]apoio_Preços_MGS!$A$6:$AN$238,32,FALSE)</f>
        <v>7.9913928979695941</v>
      </c>
      <c r="AB66" s="40">
        <f>VLOOKUP(D66,[1]apoio_Preços_MGS!$A$6:$AN$238,33,FALSE)</f>
        <v>96.307705627705559</v>
      </c>
      <c r="AC66" s="41">
        <f>VLOOKUP(D66,[1]apoio_Preços_MGS!$A$6:$AN$238,34,FALSE)</f>
        <v>0</v>
      </c>
      <c r="AD66" s="40">
        <f>(U66+W66+Z66+AB66+AA66+VLOOKUP(C66,[1]apoio_Prec_Folha!$A:$S,7,FALSE))*AC66</f>
        <v>0</v>
      </c>
      <c r="AE66" s="42">
        <f>VLOOKUP(D66,[1]apoio_Preços_MGS!$A$6:$AN$238,36,FALSE)</f>
        <v>7.0000000000000007E-2</v>
      </c>
      <c r="AF66" s="40">
        <f>(U66+W66+Z66+AB66+AD66+AA66+VLOOKUP(C66,[1]apoio_Prec_Folha!$A:$S,7,FALSE))*AE66</f>
        <v>575.20034741534448</v>
      </c>
      <c r="AG66" s="40">
        <f t="shared" si="6"/>
        <v>8246.34</v>
      </c>
      <c r="AH66" s="43">
        <f t="shared" si="7"/>
        <v>9616.7099999999991</v>
      </c>
      <c r="AI66" s="43">
        <f t="shared" si="8"/>
        <v>38466.839999999997</v>
      </c>
      <c r="AJ66" s="43">
        <f t="shared" si="9"/>
        <v>2308010.4</v>
      </c>
      <c r="AK66" s="44">
        <f>VLOOKUP(D66,[1]apoio_Preços_MGS!$A$6:$AN$238,39,FALSE)</f>
        <v>181.81818181818184</v>
      </c>
      <c r="AL66" s="44">
        <f>IF(J66="demais municípios",VLOOKUP(D66,[1]apoio_Preços_MGS!$A$6:$AN$238,39,FALSE),0)</f>
        <v>181.81818181818184</v>
      </c>
      <c r="AM66" s="44">
        <v>0</v>
      </c>
      <c r="AN66" s="45">
        <f t="shared" si="28"/>
        <v>727.27272727272737</v>
      </c>
      <c r="AO66" s="44">
        <f>VLOOKUP(D66,[1]apoio_Preços_MGS!$A$6:$AN$238,40,FALSE)</f>
        <v>545.99</v>
      </c>
      <c r="AP66" s="44">
        <f>IF(J66="demais municípios",VLOOKUP(D66,[1]apoio_Preços_MGS!$A$6:$AN$238,40,FALSE),0)</f>
        <v>545.99</v>
      </c>
      <c r="AQ66" s="44">
        <v>0</v>
      </c>
      <c r="AR66" s="45">
        <f t="shared" si="29"/>
        <v>2183.96</v>
      </c>
      <c r="AS66" s="45">
        <f t="shared" si="10"/>
        <v>2911.2327272727275</v>
      </c>
      <c r="AT66" s="45">
        <f t="shared" si="13"/>
        <v>174673.96363636365</v>
      </c>
      <c r="AU66" s="62"/>
      <c r="AV66" s="46"/>
      <c r="AW66" s="47"/>
      <c r="AX66" s="48"/>
      <c r="AY66" s="49"/>
      <c r="BA66" s="48"/>
    </row>
    <row r="67" spans="1:53" ht="19.5" customHeight="1" x14ac:dyDescent="0.25">
      <c r="A67" s="33" t="str">
        <f t="shared" ref="A67:A130" si="30">CONCATENATE(F67,H67,I67)</f>
        <v>106437400,05</v>
      </c>
      <c r="B67" s="33" t="str">
        <f t="shared" ref="B67:B130" si="31">CONCATENATE(D67,I67)</f>
        <v>3540,05</v>
      </c>
      <c r="C67" s="34" t="str">
        <f>VLOOKUP(D67,[1]apoio_Preços_MGS!$A$6:$B$238,2,FALSE)</f>
        <v>ANALISTA ESPECIALIZADO EM CIÊNCIAS HUMANAS</v>
      </c>
      <c r="D67" s="35">
        <v>354</v>
      </c>
      <c r="E67" s="33" t="str">
        <f>VLOOKUP(D67,[1]apoio_Preços_MGS!$A$6:$F$238,6,FALSE)</f>
        <v>ANALISTA ESPECIALIZADO EM CIÊNCIAS HUMANAS - DIARISTA DIURNO - 40H</v>
      </c>
      <c r="F67" s="36">
        <f>IFERROR(VLOOKUP(D67,'[1]apoio_cód catmas'!$B$2:$C$863,2,FALSE),0)</f>
        <v>106437</v>
      </c>
      <c r="G67" s="33" t="str">
        <f>IF(H67="N/A",VLOOKUP(F67&amp;40,'[1]apoio_cód catmas'!$A$1:$G$233,4,FALSE),VLOOKUP(F67&amp;H67,'[1]apoio_cód catmas'!$A$1:$G$233,4,FALSE))</f>
        <v>ANALISTA ESPECIALIZADO EM CIENCIAS HUMANAS - 30H, 36H, 40H E 44H.</v>
      </c>
      <c r="H67" s="36">
        <v>40</v>
      </c>
      <c r="I67" s="37">
        <v>0.05</v>
      </c>
      <c r="J67" s="38" t="s">
        <v>47</v>
      </c>
      <c r="K67" s="39">
        <v>85</v>
      </c>
      <c r="L67" s="39">
        <f t="shared" si="2"/>
        <v>5100</v>
      </c>
      <c r="M67" s="40">
        <f>VLOOKUP(D67,[1]apoio_Preços_MGS!$A$6:$AN$238,18,FALSE)</f>
        <v>4162.1838010258307</v>
      </c>
      <c r="N67" s="40">
        <f>VLOOKUP(D67,[1]apoio_Preços_MGS!$A$6:$AN$238,19,FALSE)</f>
        <v>0</v>
      </c>
      <c r="O67" s="40">
        <f>VLOOKUP(D67,[1]apoio_Preços_MGS!$A$6:$AN$238,20,FALSE)</f>
        <v>0</v>
      </c>
      <c r="P67" s="40">
        <f>VLOOKUP(D67,[1]apoio_Preços_MGS!$A$6:$AN$238,21,FALSE)</f>
        <v>0</v>
      </c>
      <c r="Q67" s="40">
        <f>VLOOKUP(D67,[1]apoio_Preços_MGS!$A$6:$AN$238,22,FALSE)</f>
        <v>0</v>
      </c>
      <c r="R67" s="40">
        <f>VLOOKUP(D67,[1]apoio_Preços_MGS!$A$6:$AN$238,23,FALSE)</f>
        <v>0</v>
      </c>
      <c r="S67" s="40">
        <f>VLOOKUP(D67,[1]apoio_Preços_MGS!$A$6:$AN$238,24,FALSE)</f>
        <v>0</v>
      </c>
      <c r="T67" s="40">
        <f>VLOOKUP(D67,[1]apoio_Preços_MGS!$A$6:$AN$238,25,FALSE)</f>
        <v>0</v>
      </c>
      <c r="U67" s="40">
        <f t="shared" si="3"/>
        <v>4162.1838010258307</v>
      </c>
      <c r="V67" s="41">
        <f>VLOOKUP(D67,[1]apoio_Preços_MGS!$A$6:$AN$238,27,FALSE)</f>
        <v>0.81799999999999995</v>
      </c>
      <c r="W67" s="40">
        <f t="shared" si="4"/>
        <v>3404.6663492391294</v>
      </c>
      <c r="X67" s="40">
        <f>VLOOKUP(D67,[1]apoio_Preços_MGS!$A$6:$AN$238,29,FALSE)</f>
        <v>0</v>
      </c>
      <c r="Y67" s="40">
        <f>VLOOKUP(D67,[1]apoio_Preços_MGS!$A$6:$AN$238,30,FALSE)</f>
        <v>0</v>
      </c>
      <c r="Z67" s="40">
        <f t="shared" si="5"/>
        <v>0</v>
      </c>
      <c r="AA67" s="40">
        <f>VLOOKUP(D67,[1]apoio_Preços_MGS!$A$6:$AN$238,32,FALSE)</f>
        <v>7.9913928979695941</v>
      </c>
      <c r="AB67" s="40">
        <f>VLOOKUP(D67,[1]apoio_Preços_MGS!$A$6:$AN$238,33,FALSE)</f>
        <v>96.307705627705559</v>
      </c>
      <c r="AC67" s="41">
        <f>VLOOKUP(D67,[1]apoio_Preços_MGS!$A$6:$AN$238,34,FALSE)</f>
        <v>0</v>
      </c>
      <c r="AD67" s="40">
        <f>(U67+W67+Z67+AB67+AA67+VLOOKUP(C67,[1]apoio_Prec_Folha!$A:$S,7,FALSE))*AC67</f>
        <v>0</v>
      </c>
      <c r="AE67" s="42">
        <f>VLOOKUP(D67,[1]apoio_Preços_MGS!$A$6:$AN$238,36,FALSE)</f>
        <v>7.0000000000000007E-2</v>
      </c>
      <c r="AF67" s="40">
        <f>(U67+W67+Z67+AB67+AD67+AA67+VLOOKUP(C67,[1]apoio_Prec_Folha!$A:$S,7,FALSE))*AE67</f>
        <v>575.20034741534448</v>
      </c>
      <c r="AG67" s="40">
        <f t="shared" si="6"/>
        <v>8246.34</v>
      </c>
      <c r="AH67" s="43">
        <f t="shared" si="7"/>
        <v>9616.7099999999991</v>
      </c>
      <c r="AI67" s="43">
        <f t="shared" si="8"/>
        <v>817420.35</v>
      </c>
      <c r="AJ67" s="43">
        <f t="shared" si="9"/>
        <v>49045220.999999993</v>
      </c>
      <c r="AK67" s="44">
        <f>VLOOKUP(D67,[1]apoio_Preços_MGS!$A$6:$AN$238,39,FALSE)</f>
        <v>181.81818181818184</v>
      </c>
      <c r="AL67" s="44">
        <f>IF(J67="demais municípios",VLOOKUP(D67,[1]apoio_Preços_MGS!$A$6:$AN$238,39,FALSE),0)</f>
        <v>0</v>
      </c>
      <c r="AM67" s="44">
        <f>TRUNC(ROUND(($I67)/(1-($I67)),5)*VLOOKUP(D67,[1]apoio_Preços_MGS!$A$6:$AN$238,39,FALSE)+VLOOKUP(D67,[1]apoio_Preços_MGS!$A$6:$AN$238,39,FALSE),2)</f>
        <v>191.38</v>
      </c>
      <c r="AN67" s="45">
        <f t="shared" ref="AN67:AN130" si="32">AM67*K67</f>
        <v>16267.3</v>
      </c>
      <c r="AO67" s="44">
        <f>VLOOKUP(D67,[1]apoio_Preços_MGS!$A$6:$AN$238,40,FALSE)</f>
        <v>545.99</v>
      </c>
      <c r="AP67" s="44">
        <f>IF(J67="demais municípios",VLOOKUP(D67,[1]apoio_Preços_MGS!$A$6:$AN$238,40,FALSE),0)</f>
        <v>0</v>
      </c>
      <c r="AQ67" s="44">
        <f>TRUNC(ROUND(($I67)/(1-($I67)),5)*VLOOKUP(D67,[1]apoio_Preços_MGS!$A$6:$AN$238,40,FALSE)+VLOOKUP(D67,[1]apoio_Preços_MGS!$A$6:$AN$238,40,FALSE),2)</f>
        <v>574.72</v>
      </c>
      <c r="AR67" s="45">
        <f t="shared" ref="AR67:AR130" si="33">AQ67*K67</f>
        <v>48851.200000000004</v>
      </c>
      <c r="AS67" s="45">
        <f t="shared" ref="AS67:AS130" si="34">AN67+AR67</f>
        <v>65118.5</v>
      </c>
      <c r="AT67" s="45">
        <f t="shared" si="13"/>
        <v>3907110</v>
      </c>
      <c r="AU67" s="62"/>
      <c r="AV67" s="46"/>
      <c r="AW67" s="47"/>
      <c r="AX67" s="48"/>
      <c r="AY67" s="49"/>
      <c r="BA67" s="48"/>
    </row>
    <row r="68" spans="1:53" ht="19.5" customHeight="1" x14ac:dyDescent="0.25">
      <c r="A68" s="33" t="str">
        <f t="shared" si="30"/>
        <v>106437440,05</v>
      </c>
      <c r="B68" s="33" t="str">
        <f t="shared" si="31"/>
        <v>3550,05</v>
      </c>
      <c r="C68" s="34" t="str">
        <f>VLOOKUP(D68,[1]apoio_Preços_MGS!$A$6:$B$238,2,FALSE)</f>
        <v>ANALISTA ESPECIALIZADO EM CIÊNCIAS HUMANAS</v>
      </c>
      <c r="D68" s="35">
        <v>355</v>
      </c>
      <c r="E68" s="33" t="str">
        <f>VLOOKUP(D68,[1]apoio_Preços_MGS!$A$6:$F$238,6,FALSE)</f>
        <v>ANALISTA ESPECIALIZADO EM CIÊNCIAS HUMANAS - DIARISTA DIURNO - 44H</v>
      </c>
      <c r="F68" s="36">
        <f>IFERROR(VLOOKUP(D68,'[1]apoio_cód catmas'!$B$2:$C$863,2,FALSE),0)</f>
        <v>106437</v>
      </c>
      <c r="G68" s="33" t="str">
        <f>IF(H68="N/A",VLOOKUP(F68&amp;40,'[1]apoio_cód catmas'!$A$1:$G$233,4,FALSE),VLOOKUP(F68&amp;H68,'[1]apoio_cód catmas'!$A$1:$G$233,4,FALSE))</f>
        <v>ANALISTA ESPECIALIZADO EM CIENCIAS HUMANAS - 30H, 36H, 40H E 44H.</v>
      </c>
      <c r="H68" s="36">
        <v>44</v>
      </c>
      <c r="I68" s="37">
        <v>0.05</v>
      </c>
      <c r="J68" s="38" t="s">
        <v>47</v>
      </c>
      <c r="K68" s="39">
        <v>2</v>
      </c>
      <c r="L68" s="39">
        <f t="shared" si="2"/>
        <v>120</v>
      </c>
      <c r="M68" s="40">
        <f>VLOOKUP(D68,[1]apoio_Preços_MGS!$A$6:$AN$238,18,FALSE)</f>
        <v>4578.4021811284138</v>
      </c>
      <c r="N68" s="40">
        <f>VLOOKUP(D68,[1]apoio_Preços_MGS!$A$6:$AN$238,19,FALSE)</f>
        <v>0</v>
      </c>
      <c r="O68" s="40">
        <f>VLOOKUP(D68,[1]apoio_Preços_MGS!$A$6:$AN$238,20,FALSE)</f>
        <v>0</v>
      </c>
      <c r="P68" s="40">
        <f>VLOOKUP(D68,[1]apoio_Preços_MGS!$A$6:$AN$238,21,FALSE)</f>
        <v>0</v>
      </c>
      <c r="Q68" s="40">
        <f>VLOOKUP(D68,[1]apoio_Preços_MGS!$A$6:$AN$238,22,FALSE)</f>
        <v>0</v>
      </c>
      <c r="R68" s="40">
        <f>VLOOKUP(D68,[1]apoio_Preços_MGS!$A$6:$AN$238,23,FALSE)</f>
        <v>0</v>
      </c>
      <c r="S68" s="40">
        <f>VLOOKUP(D68,[1]apoio_Preços_MGS!$A$6:$AN$238,24,FALSE)</f>
        <v>0</v>
      </c>
      <c r="T68" s="40">
        <f>VLOOKUP(D68,[1]apoio_Preços_MGS!$A$6:$AN$238,25,FALSE)</f>
        <v>0</v>
      </c>
      <c r="U68" s="40">
        <f t="shared" si="3"/>
        <v>4578.4021811284138</v>
      </c>
      <c r="V68" s="41">
        <f>VLOOKUP(D68,[1]apoio_Preços_MGS!$A$6:$AN$238,27,FALSE)</f>
        <v>0.81799999999999995</v>
      </c>
      <c r="W68" s="40">
        <f t="shared" si="4"/>
        <v>3745.1329841630422</v>
      </c>
      <c r="X68" s="40">
        <f>VLOOKUP(D68,[1]apoio_Preços_MGS!$A$6:$AN$238,29,FALSE)</f>
        <v>0</v>
      </c>
      <c r="Y68" s="40">
        <f>VLOOKUP(D68,[1]apoio_Preços_MGS!$A$6:$AN$238,30,FALSE)</f>
        <v>0</v>
      </c>
      <c r="Z68" s="40">
        <f t="shared" si="5"/>
        <v>0</v>
      </c>
      <c r="AA68" s="40">
        <f>VLOOKUP(D68,[1]apoio_Preços_MGS!$A$6:$AN$238,32,FALSE)</f>
        <v>8.7905321877665532</v>
      </c>
      <c r="AB68" s="40">
        <f>VLOOKUP(D68,[1]apoio_Preços_MGS!$A$6:$AN$238,33,FALSE)</f>
        <v>85.980634920634856</v>
      </c>
      <c r="AC68" s="41">
        <f>VLOOKUP(D68,[1]apoio_Preços_MGS!$A$6:$AN$238,34,FALSE)</f>
        <v>0</v>
      </c>
      <c r="AD68" s="40">
        <f>(U68+W68+Z68+AB68+AA68+VLOOKUP(C68,[1]apoio_Prec_Folha!$A:$S,7,FALSE))*AC68</f>
        <v>0</v>
      </c>
      <c r="AE68" s="42">
        <f>VLOOKUP(D68,[1]apoio_Preços_MGS!$A$6:$AN$238,36,FALSE)</f>
        <v>7.0000000000000007E-2</v>
      </c>
      <c r="AF68" s="40">
        <f>(U68+W68+Z68+AB68+AD68+AA68+VLOOKUP(C68,[1]apoio_Prec_Folha!$A:$S,7,FALSE))*AE68</f>
        <v>627.50134326799014</v>
      </c>
      <c r="AG68" s="40">
        <f t="shared" si="6"/>
        <v>9045.7999999999993</v>
      </c>
      <c r="AH68" s="43">
        <f t="shared" si="7"/>
        <v>10549.03</v>
      </c>
      <c r="AI68" s="43">
        <f t="shared" si="8"/>
        <v>21098.06</v>
      </c>
      <c r="AJ68" s="43">
        <f t="shared" si="9"/>
        <v>1265883.6000000001</v>
      </c>
      <c r="AK68" s="44">
        <f>VLOOKUP(D68,[1]apoio_Preços_MGS!$A$6:$AN$238,39,FALSE)</f>
        <v>200.00000000000003</v>
      </c>
      <c r="AL68" s="44">
        <f>IF(J68="demais municípios",VLOOKUP(D68,[1]apoio_Preços_MGS!$A$6:$AN$238,39,FALSE),0)</f>
        <v>0</v>
      </c>
      <c r="AM68" s="44">
        <f>TRUNC(ROUND(($I68)/(1-($I68)),5)*VLOOKUP(D68,[1]apoio_Preços_MGS!$A$6:$AN$238,39,FALSE)+VLOOKUP(D68,[1]apoio_Preços_MGS!$A$6:$AN$238,39,FALSE),2)</f>
        <v>210.52</v>
      </c>
      <c r="AN68" s="45">
        <f t="shared" si="32"/>
        <v>421.04</v>
      </c>
      <c r="AO68" s="44">
        <f>VLOOKUP(D68,[1]apoio_Preços_MGS!$A$6:$AN$238,40,FALSE)</f>
        <v>545.99</v>
      </c>
      <c r="AP68" s="44">
        <f>IF(J68="demais municípios",VLOOKUP(D68,[1]apoio_Preços_MGS!$A$6:$AN$238,40,FALSE),0)</f>
        <v>0</v>
      </c>
      <c r="AQ68" s="44">
        <f>TRUNC(ROUND(($I68)/(1-($I68)),5)*VLOOKUP(D68,[1]apoio_Preços_MGS!$A$6:$AN$238,40,FALSE)+VLOOKUP(D68,[1]apoio_Preços_MGS!$A$6:$AN$238,40,FALSE),2)</f>
        <v>574.72</v>
      </c>
      <c r="AR68" s="45">
        <f t="shared" si="33"/>
        <v>1149.44</v>
      </c>
      <c r="AS68" s="45">
        <f t="shared" si="34"/>
        <v>1570.48</v>
      </c>
      <c r="AT68" s="45">
        <f t="shared" ref="AT68:AT131" si="35">(AN68+AR68)*60</f>
        <v>94228.800000000003</v>
      </c>
      <c r="AU68" s="62"/>
      <c r="AV68" s="46"/>
      <c r="AW68" s="47"/>
      <c r="AX68" s="48"/>
      <c r="AY68" s="49"/>
      <c r="BA68" s="48"/>
    </row>
    <row r="69" spans="1:53" ht="19.5" customHeight="1" x14ac:dyDescent="0.25">
      <c r="A69" s="33" t="str">
        <f t="shared" si="30"/>
        <v>106445400,02</v>
      </c>
      <c r="B69" s="33" t="str">
        <f t="shared" si="31"/>
        <v>3300,02</v>
      </c>
      <c r="C69" s="34" t="str">
        <f>VLOOKUP(D69,[1]apoio_Preços_MGS!$A$6:$B$238,2,FALSE)</f>
        <v>ANALISTA ESPECIALIZADO EM CIÊNCIAS SOCIAIS APLICADAS I</v>
      </c>
      <c r="D69" s="35">
        <v>330</v>
      </c>
      <c r="E69" s="33" t="str">
        <f>VLOOKUP(D69,[1]apoio_Preços_MGS!$A$6:$F$238,6,FALSE)</f>
        <v>ANALISTA ESPECIALIZADO EM CIÊNCIAS SOCIAIS APLICADAS I - DIARISTA DIURNO - 40H</v>
      </c>
      <c r="F69" s="36">
        <f>IFERROR(VLOOKUP(D69,'[1]apoio_cód catmas'!$B$2:$C$863,2,FALSE),0)</f>
        <v>106445</v>
      </c>
      <c r="G69" s="33" t="str">
        <f>IF(H69="N/A",VLOOKUP(F69&amp;40,'[1]apoio_cód catmas'!$A$1:$G$233,4,FALSE),VLOOKUP(F69&amp;H69,'[1]apoio_cód catmas'!$A$1:$G$233,4,FALSE))</f>
        <v>ANALISTA ESPECIALIZADO EM CIENCIAS SOCIAIS APLICADAS I - 30H36H, 40H OU 44H</v>
      </c>
      <c r="H69" s="36">
        <v>40</v>
      </c>
      <c r="I69" s="37">
        <v>0.02</v>
      </c>
      <c r="J69" s="38" t="s">
        <v>46</v>
      </c>
      <c r="K69" s="39">
        <v>1</v>
      </c>
      <c r="L69" s="39">
        <f t="shared" si="2"/>
        <v>60</v>
      </c>
      <c r="M69" s="40">
        <f>VLOOKUP(D69,[1]apoio_Preços_MGS!$A$6:$AN$238,18,FALSE)</f>
        <v>5222.6933300395103</v>
      </c>
      <c r="N69" s="40">
        <f>VLOOKUP(D69,[1]apoio_Preços_MGS!$A$6:$AN$238,19,FALSE)</f>
        <v>0</v>
      </c>
      <c r="O69" s="40">
        <f>VLOOKUP(D69,[1]apoio_Preços_MGS!$A$6:$AN$238,20,FALSE)</f>
        <v>0</v>
      </c>
      <c r="P69" s="40">
        <f>VLOOKUP(D69,[1]apoio_Preços_MGS!$A$6:$AN$238,21,FALSE)</f>
        <v>0</v>
      </c>
      <c r="Q69" s="40">
        <f>VLOOKUP(D69,[1]apoio_Preços_MGS!$A$6:$AN$238,22,FALSE)</f>
        <v>0</v>
      </c>
      <c r="R69" s="40">
        <f>VLOOKUP(D69,[1]apoio_Preços_MGS!$A$6:$AN$238,23,FALSE)</f>
        <v>0</v>
      </c>
      <c r="S69" s="40">
        <f>VLOOKUP(D69,[1]apoio_Preços_MGS!$A$6:$AN$238,24,FALSE)</f>
        <v>0</v>
      </c>
      <c r="T69" s="40">
        <f>VLOOKUP(D69,[1]apoio_Preços_MGS!$A$6:$AN$238,25,FALSE)</f>
        <v>0</v>
      </c>
      <c r="U69" s="40">
        <f t="shared" si="3"/>
        <v>5222.6933300395103</v>
      </c>
      <c r="V69" s="41">
        <f>VLOOKUP(D69,[1]apoio_Preços_MGS!$A$6:$AN$238,27,FALSE)</f>
        <v>0.81799999999999995</v>
      </c>
      <c r="W69" s="40">
        <f t="shared" si="4"/>
        <v>4272.1631439723196</v>
      </c>
      <c r="X69" s="40">
        <f>VLOOKUP(D69,[1]apoio_Preços_MGS!$A$6:$AN$238,29,FALSE)</f>
        <v>0</v>
      </c>
      <c r="Y69" s="40">
        <f>VLOOKUP(D69,[1]apoio_Preços_MGS!$A$6:$AN$238,30,FALSE)</f>
        <v>0</v>
      </c>
      <c r="Z69" s="40">
        <f t="shared" si="5"/>
        <v>0</v>
      </c>
      <c r="AA69" s="40">
        <f>VLOOKUP(D69,[1]apoio_Preços_MGS!$A$6:$AN$238,32,FALSE)</f>
        <v>9.6</v>
      </c>
      <c r="AB69" s="40">
        <f>VLOOKUP(D69,[1]apoio_Preços_MGS!$A$6:$AN$238,33,FALSE)</f>
        <v>58.745329819938547</v>
      </c>
      <c r="AC69" s="41">
        <f>VLOOKUP(D69,[1]apoio_Preços_MGS!$A$6:$AN$238,34,FALSE)</f>
        <v>0</v>
      </c>
      <c r="AD69" s="40">
        <f>(U69+W69+Z69+AB69+AA69+VLOOKUP(C69,[1]apoio_Prec_Folha!$A:$S,7,FALSE))*AC69</f>
        <v>0</v>
      </c>
      <c r="AE69" s="42">
        <f>VLOOKUP(D69,[1]apoio_Preços_MGS!$A$6:$AN$238,36,FALSE)</f>
        <v>7.0000000000000007E-2</v>
      </c>
      <c r="AF69" s="40">
        <f>(U69+W69+Z69+AB69+AD69+AA69+VLOOKUP(C69,[1]apoio_Prec_Folha!$A:$S,7,FALSE))*AE69</f>
        <v>708.03472626822406</v>
      </c>
      <c r="AG69" s="40">
        <f t="shared" si="6"/>
        <v>10271.23</v>
      </c>
      <c r="AH69" s="43">
        <f t="shared" si="7"/>
        <v>11573.21</v>
      </c>
      <c r="AI69" s="43">
        <f t="shared" si="8"/>
        <v>11573.21</v>
      </c>
      <c r="AJ69" s="43">
        <f t="shared" si="9"/>
        <v>694392.6</v>
      </c>
      <c r="AK69" s="44">
        <f>VLOOKUP(D69,[1]apoio_Preços_MGS!$A$6:$AN$238,39,FALSE)</f>
        <v>181.81818181818184</v>
      </c>
      <c r="AL69" s="44">
        <f>IF(J69="demais municípios",VLOOKUP(D69,[1]apoio_Preços_MGS!$A$6:$AN$238,39,FALSE),0)</f>
        <v>181.81818181818184</v>
      </c>
      <c r="AM69" s="44">
        <v>0</v>
      </c>
      <c r="AN69" s="45">
        <f t="shared" ref="AN69:AN72" si="36">AK69*K69</f>
        <v>181.81818181818184</v>
      </c>
      <c r="AO69" s="44">
        <f>VLOOKUP(D69,[1]apoio_Preços_MGS!$A$6:$AN$238,40,FALSE)</f>
        <v>551.58000000000004</v>
      </c>
      <c r="AP69" s="44">
        <f>IF(J69="demais municípios",VLOOKUP(D69,[1]apoio_Preços_MGS!$A$6:$AN$238,40,FALSE),0)</f>
        <v>551.58000000000004</v>
      </c>
      <c r="AQ69" s="44">
        <v>0</v>
      </c>
      <c r="AR69" s="45">
        <f t="shared" ref="AR69:AR72" si="37">AO69*K69</f>
        <v>551.58000000000004</v>
      </c>
      <c r="AS69" s="45">
        <f t="shared" si="34"/>
        <v>733.39818181818191</v>
      </c>
      <c r="AT69" s="45">
        <f t="shared" si="35"/>
        <v>44003.890909090915</v>
      </c>
      <c r="AU69" s="62"/>
      <c r="AV69" s="46"/>
      <c r="AW69" s="47"/>
      <c r="AX69" s="48"/>
      <c r="AY69" s="49"/>
      <c r="BA69" s="48"/>
    </row>
    <row r="70" spans="1:53" ht="19.5" customHeight="1" x14ac:dyDescent="0.25">
      <c r="A70" s="33" t="str">
        <f t="shared" si="30"/>
        <v>106445400,03</v>
      </c>
      <c r="B70" s="33" t="str">
        <f t="shared" si="31"/>
        <v>3300,03</v>
      </c>
      <c r="C70" s="34" t="str">
        <f>VLOOKUP(D70,[1]apoio_Preços_MGS!$A$6:$B$238,2,FALSE)</f>
        <v>ANALISTA ESPECIALIZADO EM CIÊNCIAS SOCIAIS APLICADAS I</v>
      </c>
      <c r="D70" s="35">
        <v>330</v>
      </c>
      <c r="E70" s="33" t="str">
        <f>VLOOKUP(D70,[1]apoio_Preços_MGS!$A$6:$F$238,6,FALSE)</f>
        <v>ANALISTA ESPECIALIZADO EM CIÊNCIAS SOCIAIS APLICADAS I - DIARISTA DIURNO - 40H</v>
      </c>
      <c r="F70" s="36">
        <f>IFERROR(VLOOKUP(D70,'[1]apoio_cód catmas'!$B$2:$C$863,2,FALSE),0)</f>
        <v>106445</v>
      </c>
      <c r="G70" s="33" t="str">
        <f>IF(H70="N/A",VLOOKUP(F70&amp;40,'[1]apoio_cód catmas'!$A$1:$G$233,4,FALSE),VLOOKUP(F70&amp;H70,'[1]apoio_cód catmas'!$A$1:$G$233,4,FALSE))</f>
        <v>ANALISTA ESPECIALIZADO EM CIENCIAS SOCIAIS APLICADAS I - 30H36H, 40H OU 44H</v>
      </c>
      <c r="H70" s="36">
        <v>40</v>
      </c>
      <c r="I70" s="37">
        <v>0.03</v>
      </c>
      <c r="J70" s="38" t="s">
        <v>46</v>
      </c>
      <c r="K70" s="39">
        <f>12-1</f>
        <v>11</v>
      </c>
      <c r="L70" s="39">
        <f t="shared" si="2"/>
        <v>660</v>
      </c>
      <c r="M70" s="40">
        <f>VLOOKUP(D70,[1]apoio_Preços_MGS!$A$6:$AN$238,18,FALSE)</f>
        <v>5222.6933300395103</v>
      </c>
      <c r="N70" s="40">
        <f>VLOOKUP(D70,[1]apoio_Preços_MGS!$A$6:$AN$238,19,FALSE)</f>
        <v>0</v>
      </c>
      <c r="O70" s="40">
        <f>VLOOKUP(D70,[1]apoio_Preços_MGS!$A$6:$AN$238,20,FALSE)</f>
        <v>0</v>
      </c>
      <c r="P70" s="40">
        <f>VLOOKUP(D70,[1]apoio_Preços_MGS!$A$6:$AN$238,21,FALSE)</f>
        <v>0</v>
      </c>
      <c r="Q70" s="40">
        <f>VLOOKUP(D70,[1]apoio_Preços_MGS!$A$6:$AN$238,22,FALSE)</f>
        <v>0</v>
      </c>
      <c r="R70" s="40">
        <f>VLOOKUP(D70,[1]apoio_Preços_MGS!$A$6:$AN$238,23,FALSE)</f>
        <v>0</v>
      </c>
      <c r="S70" s="40">
        <f>VLOOKUP(D70,[1]apoio_Preços_MGS!$A$6:$AN$238,24,FALSE)</f>
        <v>0</v>
      </c>
      <c r="T70" s="40">
        <f>VLOOKUP(D70,[1]apoio_Preços_MGS!$A$6:$AN$238,25,FALSE)</f>
        <v>0</v>
      </c>
      <c r="U70" s="40">
        <f t="shared" si="3"/>
        <v>5222.6933300395103</v>
      </c>
      <c r="V70" s="41">
        <f>VLOOKUP(D70,[1]apoio_Preços_MGS!$A$6:$AN$238,27,FALSE)</f>
        <v>0.81799999999999995</v>
      </c>
      <c r="W70" s="40">
        <f t="shared" si="4"/>
        <v>4272.1631439723196</v>
      </c>
      <c r="X70" s="40">
        <f>VLOOKUP(D70,[1]apoio_Preços_MGS!$A$6:$AN$238,29,FALSE)</f>
        <v>0</v>
      </c>
      <c r="Y70" s="40">
        <f>VLOOKUP(D70,[1]apoio_Preços_MGS!$A$6:$AN$238,30,FALSE)</f>
        <v>0</v>
      </c>
      <c r="Z70" s="40">
        <f t="shared" si="5"/>
        <v>0</v>
      </c>
      <c r="AA70" s="40">
        <f>VLOOKUP(D70,[1]apoio_Preços_MGS!$A$6:$AN$238,32,FALSE)</f>
        <v>9.6</v>
      </c>
      <c r="AB70" s="40">
        <f>VLOOKUP(D70,[1]apoio_Preços_MGS!$A$6:$AN$238,33,FALSE)</f>
        <v>58.745329819938547</v>
      </c>
      <c r="AC70" s="41">
        <f>VLOOKUP(D70,[1]apoio_Preços_MGS!$A$6:$AN$238,34,FALSE)</f>
        <v>0</v>
      </c>
      <c r="AD70" s="40">
        <f>(U70+W70+Z70+AB70+AA70+VLOOKUP(C70,[1]apoio_Prec_Folha!$A:$S,7,FALSE))*AC70</f>
        <v>0</v>
      </c>
      <c r="AE70" s="42">
        <f>VLOOKUP(D70,[1]apoio_Preços_MGS!$A$6:$AN$238,36,FALSE)</f>
        <v>7.0000000000000007E-2</v>
      </c>
      <c r="AF70" s="40">
        <f>(U70+W70+Z70+AB70+AD70+AA70+VLOOKUP(C70,[1]apoio_Prec_Folha!$A:$S,7,FALSE))*AE70</f>
        <v>708.03472626822406</v>
      </c>
      <c r="AG70" s="40">
        <f t="shared" si="6"/>
        <v>10271.23</v>
      </c>
      <c r="AH70" s="43">
        <f t="shared" si="7"/>
        <v>11705.09</v>
      </c>
      <c r="AI70" s="43">
        <f t="shared" si="8"/>
        <v>128755.99</v>
      </c>
      <c r="AJ70" s="43">
        <f t="shared" si="9"/>
        <v>7725359.4000000004</v>
      </c>
      <c r="AK70" s="44">
        <f>VLOOKUP(D70,[1]apoio_Preços_MGS!$A$6:$AN$238,39,FALSE)</f>
        <v>181.81818181818184</v>
      </c>
      <c r="AL70" s="44">
        <f>IF(J70="demais municípios",VLOOKUP(D70,[1]apoio_Preços_MGS!$A$6:$AN$238,39,FALSE),0)</f>
        <v>181.81818181818184</v>
      </c>
      <c r="AM70" s="44">
        <v>0</v>
      </c>
      <c r="AN70" s="45">
        <f t="shared" si="36"/>
        <v>2000.0000000000002</v>
      </c>
      <c r="AO70" s="44">
        <f>VLOOKUP(D70,[1]apoio_Preços_MGS!$A$6:$AN$238,40,FALSE)</f>
        <v>551.58000000000004</v>
      </c>
      <c r="AP70" s="44">
        <f>IF(J70="demais municípios",VLOOKUP(D70,[1]apoio_Preços_MGS!$A$6:$AN$238,40,FALSE),0)</f>
        <v>551.58000000000004</v>
      </c>
      <c r="AQ70" s="44">
        <v>0</v>
      </c>
      <c r="AR70" s="45">
        <f t="shared" si="37"/>
        <v>6067.38</v>
      </c>
      <c r="AS70" s="45">
        <f t="shared" si="34"/>
        <v>8067.38</v>
      </c>
      <c r="AT70" s="45">
        <f t="shared" si="35"/>
        <v>484042.8</v>
      </c>
      <c r="AU70" s="62"/>
      <c r="AV70" s="46"/>
      <c r="AW70" s="47"/>
      <c r="AX70" s="48"/>
      <c r="AY70" s="49"/>
      <c r="BA70" s="48"/>
    </row>
    <row r="71" spans="1:53" ht="19.5" customHeight="1" x14ac:dyDescent="0.25">
      <c r="A71" s="33" t="str">
        <f t="shared" si="30"/>
        <v>106445400,05</v>
      </c>
      <c r="B71" s="33" t="str">
        <f t="shared" si="31"/>
        <v>3300,05</v>
      </c>
      <c r="C71" s="34" t="str">
        <f>VLOOKUP(D71,[1]apoio_Preços_MGS!$A$6:$B$238,2,FALSE)</f>
        <v>ANALISTA ESPECIALIZADO EM CIÊNCIAS SOCIAIS APLICADAS I</v>
      </c>
      <c r="D71" s="35">
        <v>330</v>
      </c>
      <c r="E71" s="33" t="str">
        <f>VLOOKUP(D71,[1]apoio_Preços_MGS!$A$6:$F$238,6,FALSE)</f>
        <v>ANALISTA ESPECIALIZADO EM CIÊNCIAS SOCIAIS APLICADAS I - DIARISTA DIURNO - 40H</v>
      </c>
      <c r="F71" s="36">
        <f>IFERROR(VLOOKUP(D71,'[1]apoio_cód catmas'!$B$2:$C$863,2,FALSE),0)</f>
        <v>106445</v>
      </c>
      <c r="G71" s="33" t="str">
        <f>IF(H71="N/A",VLOOKUP(F71&amp;40,'[1]apoio_cód catmas'!$A$1:$G$233,4,FALSE),VLOOKUP(F71&amp;H71,'[1]apoio_cód catmas'!$A$1:$G$233,4,FALSE))</f>
        <v>ANALISTA ESPECIALIZADO EM CIENCIAS SOCIAIS APLICADAS I - 30H36H, 40H OU 44H</v>
      </c>
      <c r="H71" s="36">
        <v>40</v>
      </c>
      <c r="I71" s="37">
        <v>0.05</v>
      </c>
      <c r="J71" s="38" t="s">
        <v>46</v>
      </c>
      <c r="K71" s="39">
        <v>1</v>
      </c>
      <c r="L71" s="39">
        <f>K71*56</f>
        <v>56</v>
      </c>
      <c r="M71" s="40">
        <f>VLOOKUP(D71,[1]apoio_Preços_MGS!$A$6:$AN$238,18,FALSE)</f>
        <v>5222.6933300395103</v>
      </c>
      <c r="N71" s="40">
        <f>VLOOKUP(D71,[1]apoio_Preços_MGS!$A$6:$AN$238,19,FALSE)</f>
        <v>0</v>
      </c>
      <c r="O71" s="40">
        <f>VLOOKUP(D71,[1]apoio_Preços_MGS!$A$6:$AN$238,20,FALSE)</f>
        <v>0</v>
      </c>
      <c r="P71" s="40">
        <f>VLOOKUP(D71,[1]apoio_Preços_MGS!$A$6:$AN$238,21,FALSE)</f>
        <v>0</v>
      </c>
      <c r="Q71" s="40">
        <f>VLOOKUP(D71,[1]apoio_Preços_MGS!$A$6:$AN$238,22,FALSE)</f>
        <v>0</v>
      </c>
      <c r="R71" s="40">
        <f>VLOOKUP(D71,[1]apoio_Preços_MGS!$A$6:$AN$238,23,FALSE)</f>
        <v>0</v>
      </c>
      <c r="S71" s="40">
        <f>VLOOKUP(D71,[1]apoio_Preços_MGS!$A$6:$AN$238,24,FALSE)</f>
        <v>0</v>
      </c>
      <c r="T71" s="40">
        <f>VLOOKUP(D71,[1]apoio_Preços_MGS!$A$6:$AN$238,25,FALSE)</f>
        <v>0</v>
      </c>
      <c r="U71" s="40">
        <f t="shared" si="3"/>
        <v>5222.6933300395103</v>
      </c>
      <c r="V71" s="41">
        <f>VLOOKUP(D71,[1]apoio_Preços_MGS!$A$6:$AN$238,27,FALSE)</f>
        <v>0.81799999999999995</v>
      </c>
      <c r="W71" s="40">
        <f t="shared" si="4"/>
        <v>4272.1631439723196</v>
      </c>
      <c r="X71" s="40">
        <f>VLOOKUP(D71,[1]apoio_Preços_MGS!$A$6:$AN$238,29,FALSE)</f>
        <v>0</v>
      </c>
      <c r="Y71" s="40">
        <f>VLOOKUP(D71,[1]apoio_Preços_MGS!$A$6:$AN$238,30,FALSE)</f>
        <v>0</v>
      </c>
      <c r="Z71" s="40">
        <f t="shared" si="5"/>
        <v>0</v>
      </c>
      <c r="AA71" s="40">
        <f>VLOOKUP(D71,[1]apoio_Preços_MGS!$A$6:$AN$238,32,FALSE)</f>
        <v>9.6</v>
      </c>
      <c r="AB71" s="40">
        <f>VLOOKUP(D71,[1]apoio_Preços_MGS!$A$6:$AN$238,33,FALSE)</f>
        <v>58.745329819938547</v>
      </c>
      <c r="AC71" s="41">
        <f>VLOOKUP(D71,[1]apoio_Preços_MGS!$A$6:$AN$238,34,FALSE)</f>
        <v>0</v>
      </c>
      <c r="AD71" s="40">
        <f>(U71+W71+Z71+AB71+AA71+VLOOKUP(C71,[1]apoio_Prec_Folha!$A:$S,7,FALSE))*AC71</f>
        <v>0</v>
      </c>
      <c r="AE71" s="42">
        <f>VLOOKUP(D71,[1]apoio_Preços_MGS!$A$6:$AN$238,36,FALSE)</f>
        <v>7.0000000000000007E-2</v>
      </c>
      <c r="AF71" s="40">
        <f>(U71+W71+Z71+AB71+AD71+AA71+VLOOKUP(C71,[1]apoio_Prec_Folha!$A:$S,7,FALSE))*AE71</f>
        <v>708.03472626822406</v>
      </c>
      <c r="AG71" s="40">
        <f t="shared" si="6"/>
        <v>10271.23</v>
      </c>
      <c r="AH71" s="43">
        <f t="shared" si="7"/>
        <v>11978.1</v>
      </c>
      <c r="AI71" s="43">
        <f t="shared" si="8"/>
        <v>11978.1</v>
      </c>
      <c r="AJ71" s="43">
        <f t="shared" si="9"/>
        <v>670773.6</v>
      </c>
      <c r="AK71" s="44">
        <f>VLOOKUP(D71,[1]apoio_Preços_MGS!$A$6:$AN$238,39,FALSE)</f>
        <v>181.81818181818184</v>
      </c>
      <c r="AL71" s="44">
        <f>IF(J71="demais municípios",VLOOKUP(D71,[1]apoio_Preços_MGS!$A$6:$AN$238,39,FALSE),0)</f>
        <v>181.81818181818184</v>
      </c>
      <c r="AM71" s="44">
        <v>0</v>
      </c>
      <c r="AN71" s="45">
        <f t="shared" si="36"/>
        <v>181.81818181818184</v>
      </c>
      <c r="AO71" s="44">
        <f>VLOOKUP(D71,[1]apoio_Preços_MGS!$A$6:$AN$238,40,FALSE)</f>
        <v>551.58000000000004</v>
      </c>
      <c r="AP71" s="44">
        <f>IF(J71="demais municípios",VLOOKUP(D71,[1]apoio_Preços_MGS!$A$6:$AN$238,40,FALSE),0)</f>
        <v>551.58000000000004</v>
      </c>
      <c r="AQ71" s="44">
        <v>0</v>
      </c>
      <c r="AR71" s="45">
        <f t="shared" si="37"/>
        <v>551.58000000000004</v>
      </c>
      <c r="AS71" s="45">
        <f t="shared" si="34"/>
        <v>733.39818181818191</v>
      </c>
      <c r="AT71" s="45">
        <f t="shared" si="35"/>
        <v>44003.890909090915</v>
      </c>
      <c r="AU71" s="62"/>
      <c r="AV71" s="46"/>
      <c r="AW71" s="47"/>
      <c r="AX71" s="48"/>
      <c r="AY71" s="49"/>
      <c r="BA71" s="48"/>
    </row>
    <row r="72" spans="1:53" ht="19.5" customHeight="1" x14ac:dyDescent="0.25">
      <c r="A72" s="33" t="str">
        <f t="shared" si="30"/>
        <v>106445400,05</v>
      </c>
      <c r="B72" s="33" t="str">
        <f t="shared" si="31"/>
        <v>3300,05</v>
      </c>
      <c r="C72" s="34" t="str">
        <f>VLOOKUP(D72,[1]apoio_Preços_MGS!$A$6:$B$238,2,FALSE)</f>
        <v>ANALISTA ESPECIALIZADO EM CIÊNCIAS SOCIAIS APLICADAS I</v>
      </c>
      <c r="D72" s="35">
        <v>330</v>
      </c>
      <c r="E72" s="33" t="str">
        <f>VLOOKUP(D72,[1]apoio_Preços_MGS!$A$6:$F$238,6,FALSE)</f>
        <v>ANALISTA ESPECIALIZADO EM CIÊNCIAS SOCIAIS APLICADAS I - DIARISTA DIURNO - 40H</v>
      </c>
      <c r="F72" s="36">
        <f>IFERROR(VLOOKUP(D72,'[1]apoio_cód catmas'!$B$2:$C$863,2,FALSE),0)</f>
        <v>106445</v>
      </c>
      <c r="G72" s="33" t="str">
        <f>IF(H72="N/A",VLOOKUP(F72&amp;40,'[1]apoio_cód catmas'!$A$1:$G$233,4,FALSE),VLOOKUP(F72&amp;H72,'[1]apoio_cód catmas'!$A$1:$G$233,4,FALSE))</f>
        <v>ANALISTA ESPECIALIZADO EM CIENCIAS SOCIAIS APLICADAS I - 30H36H, 40H OU 44H</v>
      </c>
      <c r="H72" s="36">
        <v>40</v>
      </c>
      <c r="I72" s="37">
        <v>0.05</v>
      </c>
      <c r="J72" s="38" t="s">
        <v>46</v>
      </c>
      <c r="K72" s="39">
        <f>402-K73</f>
        <v>2</v>
      </c>
      <c r="L72" s="39">
        <f t="shared" si="2"/>
        <v>120</v>
      </c>
      <c r="M72" s="40">
        <f>VLOOKUP(D72,[1]apoio_Preços_MGS!$A$6:$AN$238,18,FALSE)</f>
        <v>5222.6933300395103</v>
      </c>
      <c r="N72" s="40">
        <f>VLOOKUP(D72,[1]apoio_Preços_MGS!$A$6:$AN$238,19,FALSE)</f>
        <v>0</v>
      </c>
      <c r="O72" s="40">
        <f>VLOOKUP(D72,[1]apoio_Preços_MGS!$A$6:$AN$238,20,FALSE)</f>
        <v>0</v>
      </c>
      <c r="P72" s="40">
        <f>VLOOKUP(D72,[1]apoio_Preços_MGS!$A$6:$AN$238,21,FALSE)</f>
        <v>0</v>
      </c>
      <c r="Q72" s="40">
        <f>VLOOKUP(D72,[1]apoio_Preços_MGS!$A$6:$AN$238,22,FALSE)</f>
        <v>0</v>
      </c>
      <c r="R72" s="40">
        <f>VLOOKUP(D72,[1]apoio_Preços_MGS!$A$6:$AN$238,23,FALSE)</f>
        <v>0</v>
      </c>
      <c r="S72" s="40">
        <f>VLOOKUP(D72,[1]apoio_Preços_MGS!$A$6:$AN$238,24,FALSE)</f>
        <v>0</v>
      </c>
      <c r="T72" s="40">
        <f>VLOOKUP(D72,[1]apoio_Preços_MGS!$A$6:$AN$238,25,FALSE)</f>
        <v>0</v>
      </c>
      <c r="U72" s="40">
        <f t="shared" si="3"/>
        <v>5222.6933300395103</v>
      </c>
      <c r="V72" s="41">
        <f>VLOOKUP(D72,[1]apoio_Preços_MGS!$A$6:$AN$238,27,FALSE)</f>
        <v>0.81799999999999995</v>
      </c>
      <c r="W72" s="40">
        <f t="shared" si="4"/>
        <v>4272.1631439723196</v>
      </c>
      <c r="X72" s="40">
        <f>VLOOKUP(D72,[1]apoio_Preços_MGS!$A$6:$AN$238,29,FALSE)</f>
        <v>0</v>
      </c>
      <c r="Y72" s="40">
        <f>VLOOKUP(D72,[1]apoio_Preços_MGS!$A$6:$AN$238,30,FALSE)</f>
        <v>0</v>
      </c>
      <c r="Z72" s="40">
        <f t="shared" si="5"/>
        <v>0</v>
      </c>
      <c r="AA72" s="40">
        <f>VLOOKUP(D72,[1]apoio_Preços_MGS!$A$6:$AN$238,32,FALSE)</f>
        <v>9.6</v>
      </c>
      <c r="AB72" s="40">
        <f>VLOOKUP(D72,[1]apoio_Preços_MGS!$A$6:$AN$238,33,FALSE)</f>
        <v>58.745329819938547</v>
      </c>
      <c r="AC72" s="41">
        <f>VLOOKUP(D72,[1]apoio_Preços_MGS!$A$6:$AN$238,34,FALSE)</f>
        <v>0</v>
      </c>
      <c r="AD72" s="40">
        <f>(U72+W72+Z72+AB72+AA72+VLOOKUP(C72,[1]apoio_Prec_Folha!$A:$S,7,FALSE))*AC72</f>
        <v>0</v>
      </c>
      <c r="AE72" s="42">
        <f>VLOOKUP(D72,[1]apoio_Preços_MGS!$A$6:$AN$238,36,FALSE)</f>
        <v>7.0000000000000007E-2</v>
      </c>
      <c r="AF72" s="40">
        <f>(U72+W72+Z72+AB72+AD72+AA72+VLOOKUP(C72,[1]apoio_Prec_Folha!$A:$S,7,FALSE))*AE72</f>
        <v>708.03472626822406</v>
      </c>
      <c r="AG72" s="40">
        <f t="shared" si="6"/>
        <v>10271.23</v>
      </c>
      <c r="AH72" s="43">
        <f t="shared" si="7"/>
        <v>11978.1</v>
      </c>
      <c r="AI72" s="43">
        <f t="shared" si="8"/>
        <v>23956.2</v>
      </c>
      <c r="AJ72" s="43">
        <f t="shared" si="9"/>
        <v>1437372</v>
      </c>
      <c r="AK72" s="44">
        <f>VLOOKUP(D72,[1]apoio_Preços_MGS!$A$6:$AN$238,39,FALSE)</f>
        <v>181.81818181818184</v>
      </c>
      <c r="AL72" s="44">
        <f>IF(J72="demais municípios",VLOOKUP(D72,[1]apoio_Preços_MGS!$A$6:$AN$238,39,FALSE),0)</f>
        <v>181.81818181818184</v>
      </c>
      <c r="AM72" s="44">
        <v>0</v>
      </c>
      <c r="AN72" s="45">
        <f t="shared" si="36"/>
        <v>363.63636363636368</v>
      </c>
      <c r="AO72" s="44">
        <f>VLOOKUP(D72,[1]apoio_Preços_MGS!$A$6:$AN$238,40,FALSE)</f>
        <v>551.58000000000004</v>
      </c>
      <c r="AP72" s="44">
        <f>IF(J72="demais municípios",VLOOKUP(D72,[1]apoio_Preços_MGS!$A$6:$AN$238,40,FALSE),0)</f>
        <v>551.58000000000004</v>
      </c>
      <c r="AQ72" s="44">
        <v>0</v>
      </c>
      <c r="AR72" s="45">
        <f t="shared" si="37"/>
        <v>1103.1600000000001</v>
      </c>
      <c r="AS72" s="45">
        <f t="shared" si="34"/>
        <v>1466.7963636363638</v>
      </c>
      <c r="AT72" s="45">
        <f t="shared" si="35"/>
        <v>88007.781818181829</v>
      </c>
      <c r="AU72" s="62"/>
      <c r="AV72" s="46"/>
      <c r="AW72" s="47"/>
      <c r="AX72" s="48"/>
      <c r="AY72" s="49"/>
      <c r="BA72" s="48"/>
    </row>
    <row r="73" spans="1:53" ht="19.5" customHeight="1" x14ac:dyDescent="0.25">
      <c r="A73" s="33" t="str">
        <f t="shared" si="30"/>
        <v>106445400,05</v>
      </c>
      <c r="B73" s="33" t="str">
        <f t="shared" si="31"/>
        <v>3300,05</v>
      </c>
      <c r="C73" s="34" t="str">
        <f>VLOOKUP(D73,[1]apoio_Preços_MGS!$A$6:$B$238,2,FALSE)</f>
        <v>ANALISTA ESPECIALIZADO EM CIÊNCIAS SOCIAIS APLICADAS I</v>
      </c>
      <c r="D73" s="35">
        <v>330</v>
      </c>
      <c r="E73" s="33" t="str">
        <f>VLOOKUP(D73,[1]apoio_Preços_MGS!$A$6:$F$238,6,FALSE)</f>
        <v>ANALISTA ESPECIALIZADO EM CIÊNCIAS SOCIAIS APLICADAS I - DIARISTA DIURNO - 40H</v>
      </c>
      <c r="F73" s="36">
        <f>IFERROR(VLOOKUP(D73,'[1]apoio_cód catmas'!$B$2:$C$863,2,FALSE),0)</f>
        <v>106445</v>
      </c>
      <c r="G73" s="33" t="str">
        <f>IF(H73="N/A",VLOOKUP(F73&amp;40,'[1]apoio_cód catmas'!$A$1:$G$233,4,FALSE),VLOOKUP(F73&amp;H73,'[1]apoio_cód catmas'!$A$1:$G$233,4,FALSE))</f>
        <v>ANALISTA ESPECIALIZADO EM CIENCIAS SOCIAIS APLICADAS I - 30H36H, 40H OU 44H</v>
      </c>
      <c r="H73" s="36">
        <v>40</v>
      </c>
      <c r="I73" s="37">
        <v>0.05</v>
      </c>
      <c r="J73" s="38" t="s">
        <v>47</v>
      </c>
      <c r="K73" s="39">
        <v>400</v>
      </c>
      <c r="L73" s="39">
        <f t="shared" si="2"/>
        <v>24000</v>
      </c>
      <c r="M73" s="40">
        <f>VLOOKUP(D73,[1]apoio_Preços_MGS!$A$6:$AN$238,18,FALSE)</f>
        <v>5222.6933300395103</v>
      </c>
      <c r="N73" s="40">
        <f>VLOOKUP(D73,[1]apoio_Preços_MGS!$A$6:$AN$238,19,FALSE)</f>
        <v>0</v>
      </c>
      <c r="O73" s="40">
        <f>VLOOKUP(D73,[1]apoio_Preços_MGS!$A$6:$AN$238,20,FALSE)</f>
        <v>0</v>
      </c>
      <c r="P73" s="40">
        <f>VLOOKUP(D73,[1]apoio_Preços_MGS!$A$6:$AN$238,21,FALSE)</f>
        <v>0</v>
      </c>
      <c r="Q73" s="40">
        <f>VLOOKUP(D73,[1]apoio_Preços_MGS!$A$6:$AN$238,22,FALSE)</f>
        <v>0</v>
      </c>
      <c r="R73" s="40">
        <f>VLOOKUP(D73,[1]apoio_Preços_MGS!$A$6:$AN$238,23,FALSE)</f>
        <v>0</v>
      </c>
      <c r="S73" s="40">
        <f>VLOOKUP(D73,[1]apoio_Preços_MGS!$A$6:$AN$238,24,FALSE)</f>
        <v>0</v>
      </c>
      <c r="T73" s="40">
        <f>VLOOKUP(D73,[1]apoio_Preços_MGS!$A$6:$AN$238,25,FALSE)</f>
        <v>0</v>
      </c>
      <c r="U73" s="40">
        <f t="shared" si="3"/>
        <v>5222.6933300395103</v>
      </c>
      <c r="V73" s="41">
        <f>VLOOKUP(D73,[1]apoio_Preços_MGS!$A$6:$AN$238,27,FALSE)</f>
        <v>0.81799999999999995</v>
      </c>
      <c r="W73" s="40">
        <f t="shared" si="4"/>
        <v>4272.1631439723196</v>
      </c>
      <c r="X73" s="40">
        <f>VLOOKUP(D73,[1]apoio_Preços_MGS!$A$6:$AN$238,29,FALSE)</f>
        <v>0</v>
      </c>
      <c r="Y73" s="40">
        <f>VLOOKUP(D73,[1]apoio_Preços_MGS!$A$6:$AN$238,30,FALSE)</f>
        <v>0</v>
      </c>
      <c r="Z73" s="40">
        <f t="shared" si="5"/>
        <v>0</v>
      </c>
      <c r="AA73" s="40">
        <f>VLOOKUP(D73,[1]apoio_Preços_MGS!$A$6:$AN$238,32,FALSE)</f>
        <v>9.6</v>
      </c>
      <c r="AB73" s="40">
        <f>VLOOKUP(D73,[1]apoio_Preços_MGS!$A$6:$AN$238,33,FALSE)</f>
        <v>58.745329819938547</v>
      </c>
      <c r="AC73" s="41">
        <f>VLOOKUP(D73,[1]apoio_Preços_MGS!$A$6:$AN$238,34,FALSE)</f>
        <v>0</v>
      </c>
      <c r="AD73" s="40">
        <f>(U73+W73+Z73+AB73+AA73+VLOOKUP(C73,[1]apoio_Prec_Folha!$A:$S,7,FALSE))*AC73</f>
        <v>0</v>
      </c>
      <c r="AE73" s="42">
        <f>VLOOKUP(D73,[1]apoio_Preços_MGS!$A$6:$AN$238,36,FALSE)</f>
        <v>7.0000000000000007E-2</v>
      </c>
      <c r="AF73" s="40">
        <f>(U73+W73+Z73+AB73+AD73+AA73+VLOOKUP(C73,[1]apoio_Prec_Folha!$A:$S,7,FALSE))*AE73</f>
        <v>708.03472626822406</v>
      </c>
      <c r="AG73" s="40">
        <f t="shared" si="6"/>
        <v>10271.23</v>
      </c>
      <c r="AH73" s="43">
        <f t="shared" si="7"/>
        <v>11978.1</v>
      </c>
      <c r="AI73" s="43">
        <f t="shared" si="8"/>
        <v>4791240</v>
      </c>
      <c r="AJ73" s="43">
        <f t="shared" si="9"/>
        <v>287474400</v>
      </c>
      <c r="AK73" s="44">
        <f>VLOOKUP(D73,[1]apoio_Preços_MGS!$A$6:$AN$238,39,FALSE)</f>
        <v>181.81818181818184</v>
      </c>
      <c r="AL73" s="44">
        <f>IF(J73="demais municípios",VLOOKUP(D73,[1]apoio_Preços_MGS!$A$6:$AN$238,39,FALSE),0)</f>
        <v>0</v>
      </c>
      <c r="AM73" s="44">
        <f>TRUNC(ROUND(($I73)/(1-($I73)),5)*VLOOKUP(D73,[1]apoio_Preços_MGS!$A$6:$AN$238,39,FALSE)+VLOOKUP(D73,[1]apoio_Preços_MGS!$A$6:$AN$238,39,FALSE),2)</f>
        <v>191.38</v>
      </c>
      <c r="AN73" s="45">
        <f t="shared" si="32"/>
        <v>76552</v>
      </c>
      <c r="AO73" s="44">
        <f>VLOOKUP(D73,[1]apoio_Preços_MGS!$A$6:$AN$238,40,FALSE)</f>
        <v>551.58000000000004</v>
      </c>
      <c r="AP73" s="44">
        <f>IF(J73="demais municípios",VLOOKUP(D73,[1]apoio_Preços_MGS!$A$6:$AN$238,40,FALSE),0)</f>
        <v>0</v>
      </c>
      <c r="AQ73" s="44">
        <f>TRUNC(ROUND(($I73)/(1-($I73)),5)*VLOOKUP(D73,[1]apoio_Preços_MGS!$A$6:$AN$238,40,FALSE)+VLOOKUP(D73,[1]apoio_Preços_MGS!$A$6:$AN$238,40,FALSE),2)</f>
        <v>580.6</v>
      </c>
      <c r="AR73" s="45">
        <f t="shared" si="33"/>
        <v>232240</v>
      </c>
      <c r="AS73" s="45">
        <f t="shared" si="34"/>
        <v>308792</v>
      </c>
      <c r="AT73" s="45">
        <f t="shared" si="35"/>
        <v>18527520</v>
      </c>
      <c r="AU73" s="62"/>
      <c r="AV73" s="46"/>
      <c r="AW73" s="47"/>
      <c r="AX73" s="48"/>
      <c r="AY73" s="49"/>
      <c r="BA73" s="48"/>
    </row>
    <row r="74" spans="1:53" ht="19.5" customHeight="1" x14ac:dyDescent="0.25">
      <c r="A74" s="33" t="str">
        <f t="shared" si="30"/>
        <v>106445440,05</v>
      </c>
      <c r="B74" s="33" t="str">
        <f t="shared" si="31"/>
        <v>3310,05</v>
      </c>
      <c r="C74" s="34" t="str">
        <f>VLOOKUP(D74,[1]apoio_Preços_MGS!$A$6:$B$238,2,FALSE)</f>
        <v>ANALISTA ESPECIALIZADO EM CIÊNCIAS SOCIAIS APLICADAS I</v>
      </c>
      <c r="D74" s="35">
        <v>331</v>
      </c>
      <c r="E74" s="33" t="str">
        <f>VLOOKUP(D74,[1]apoio_Preços_MGS!$A$6:$F$238,6,FALSE)</f>
        <v>ANALISTA ESPECIALIZADO EM CIÊNCIAS SOCIAIS APLICADAS I - DIARISTA DIURNO - 44H</v>
      </c>
      <c r="F74" s="36">
        <f>IFERROR(VLOOKUP(D74,'[1]apoio_cód catmas'!$B$2:$C$863,2,FALSE),0)</f>
        <v>106445</v>
      </c>
      <c r="G74" s="33" t="str">
        <f>IF(H74="N/A",VLOOKUP(F74&amp;40,'[1]apoio_cód catmas'!$A$1:$G$233,4,FALSE),VLOOKUP(F74&amp;H74,'[1]apoio_cód catmas'!$A$1:$G$233,4,FALSE))</f>
        <v>ANALISTA ESPECIALIZADO EM CIENCIAS SOCIAIS APLICADAS I - 30H36H, 40H OU 44H</v>
      </c>
      <c r="H74" s="36">
        <v>44</v>
      </c>
      <c r="I74" s="37">
        <v>0.05</v>
      </c>
      <c r="J74" s="38" t="s">
        <v>47</v>
      </c>
      <c r="K74" s="39">
        <v>2</v>
      </c>
      <c r="L74" s="39">
        <f t="shared" si="2"/>
        <v>120</v>
      </c>
      <c r="M74" s="40">
        <f>VLOOKUP(D74,[1]apoio_Preços_MGS!$A$6:$AN$238,18,FALSE)</f>
        <v>5744.9626630434614</v>
      </c>
      <c r="N74" s="40">
        <f>VLOOKUP(D74,[1]apoio_Preços_MGS!$A$6:$AN$238,19,FALSE)</f>
        <v>0</v>
      </c>
      <c r="O74" s="40">
        <f>VLOOKUP(D74,[1]apoio_Preços_MGS!$A$6:$AN$238,20,FALSE)</f>
        <v>0</v>
      </c>
      <c r="P74" s="40">
        <f>VLOOKUP(D74,[1]apoio_Preços_MGS!$A$6:$AN$238,21,FALSE)</f>
        <v>0</v>
      </c>
      <c r="Q74" s="40">
        <f>VLOOKUP(D74,[1]apoio_Preços_MGS!$A$6:$AN$238,22,FALSE)</f>
        <v>0</v>
      </c>
      <c r="R74" s="40">
        <f>VLOOKUP(D74,[1]apoio_Preços_MGS!$A$6:$AN$238,23,FALSE)</f>
        <v>0</v>
      </c>
      <c r="S74" s="40">
        <f>VLOOKUP(D74,[1]apoio_Preços_MGS!$A$6:$AN$238,24,FALSE)</f>
        <v>0</v>
      </c>
      <c r="T74" s="40">
        <f>VLOOKUP(D74,[1]apoio_Preços_MGS!$A$6:$AN$238,25,FALSE)</f>
        <v>0</v>
      </c>
      <c r="U74" s="40">
        <f t="shared" si="3"/>
        <v>5744.9626630434614</v>
      </c>
      <c r="V74" s="41">
        <f>VLOOKUP(D74,[1]apoio_Preços_MGS!$A$6:$AN$238,27,FALSE)</f>
        <v>0.81799999999999995</v>
      </c>
      <c r="W74" s="40">
        <f t="shared" si="4"/>
        <v>4699.3794583695508</v>
      </c>
      <c r="X74" s="40">
        <f>VLOOKUP(D74,[1]apoio_Preços_MGS!$A$6:$AN$238,29,FALSE)</f>
        <v>0</v>
      </c>
      <c r="Y74" s="40">
        <f>VLOOKUP(D74,[1]apoio_Preços_MGS!$A$6:$AN$238,30,FALSE)</f>
        <v>0</v>
      </c>
      <c r="Z74" s="40">
        <f t="shared" si="5"/>
        <v>0</v>
      </c>
      <c r="AA74" s="40">
        <f>VLOOKUP(D74,[1]apoio_Preços_MGS!$A$6:$AN$238,32,FALSE)</f>
        <v>9.6</v>
      </c>
      <c r="AB74" s="40">
        <f>VLOOKUP(D74,[1]apoio_Preços_MGS!$A$6:$AN$238,33,FALSE)</f>
        <v>48.71609468599037</v>
      </c>
      <c r="AC74" s="41">
        <f>VLOOKUP(D74,[1]apoio_Preços_MGS!$A$6:$AN$238,34,FALSE)</f>
        <v>0</v>
      </c>
      <c r="AD74" s="40">
        <f>(U74+W74+Z74+AB74+AA74+VLOOKUP(C74,[1]apoio_Prec_Folha!$A:$S,7,FALSE))*AC74</f>
        <v>0</v>
      </c>
      <c r="AE74" s="42">
        <f>VLOOKUP(D74,[1]apoio_Preços_MGS!$A$6:$AN$238,36,FALSE)</f>
        <v>7.0000000000000007E-2</v>
      </c>
      <c r="AF74" s="40">
        <f>(U74+W74+Z74+AB74+AD74+AA74+VLOOKUP(C74,[1]apoio_Prec_Folha!$A:$S,7,FALSE))*AE74</f>
        <v>773.7966751269305</v>
      </c>
      <c r="AG74" s="40">
        <f t="shared" si="6"/>
        <v>11276.45</v>
      </c>
      <c r="AH74" s="43">
        <f t="shared" si="7"/>
        <v>13150.37</v>
      </c>
      <c r="AI74" s="43">
        <f t="shared" si="8"/>
        <v>26300.74</v>
      </c>
      <c r="AJ74" s="43">
        <f t="shared" si="9"/>
        <v>1578044.4000000001</v>
      </c>
      <c r="AK74" s="44">
        <f>VLOOKUP(D74,[1]apoio_Preços_MGS!$A$6:$AN$238,39,FALSE)</f>
        <v>200.00000000000003</v>
      </c>
      <c r="AL74" s="44">
        <f>IF(J74="demais municípios",VLOOKUP(D74,[1]apoio_Preços_MGS!$A$6:$AN$238,39,FALSE),0)</f>
        <v>0</v>
      </c>
      <c r="AM74" s="44">
        <f>TRUNC(ROUND(($I74)/(1-($I74)),5)*VLOOKUP(D74,[1]apoio_Preços_MGS!$A$6:$AN$238,39,FALSE)+VLOOKUP(D74,[1]apoio_Preços_MGS!$A$6:$AN$238,39,FALSE),2)</f>
        <v>210.52</v>
      </c>
      <c r="AN74" s="45">
        <f t="shared" si="32"/>
        <v>421.04</v>
      </c>
      <c r="AO74" s="44">
        <f>VLOOKUP(D74,[1]apoio_Preços_MGS!$A$6:$AN$238,40,FALSE)</f>
        <v>551.58000000000004</v>
      </c>
      <c r="AP74" s="44">
        <f>IF(J74="demais municípios",VLOOKUP(D74,[1]apoio_Preços_MGS!$A$6:$AN$238,40,FALSE),0)</f>
        <v>0</v>
      </c>
      <c r="AQ74" s="44">
        <f>TRUNC(ROUND(($I74)/(1-($I74)),5)*VLOOKUP(D74,[1]apoio_Preços_MGS!$A$6:$AN$238,40,FALSE)+VLOOKUP(D74,[1]apoio_Preços_MGS!$A$6:$AN$238,40,FALSE),2)</f>
        <v>580.6</v>
      </c>
      <c r="AR74" s="45">
        <f t="shared" si="33"/>
        <v>1161.2</v>
      </c>
      <c r="AS74" s="45">
        <f t="shared" si="34"/>
        <v>1582.24</v>
      </c>
      <c r="AT74" s="45">
        <f t="shared" si="35"/>
        <v>94934.399999999994</v>
      </c>
      <c r="AU74" s="62"/>
      <c r="AV74" s="46"/>
      <c r="AW74" s="47"/>
      <c r="AX74" s="48"/>
      <c r="AY74" s="49"/>
      <c r="BA74" s="48"/>
    </row>
    <row r="75" spans="1:53" ht="19.5" customHeight="1" x14ac:dyDescent="0.25">
      <c r="A75" s="33" t="str">
        <f t="shared" si="30"/>
        <v>106453400,02</v>
      </c>
      <c r="B75" s="33" t="str">
        <f t="shared" si="31"/>
        <v>3380,02</v>
      </c>
      <c r="C75" s="34" t="str">
        <f>VLOOKUP(D75,[1]apoio_Preços_MGS!$A$6:$B$238,2,FALSE)</f>
        <v>ANALISTA ESPECIALIZADO EM SAÚDE E MEIO AMBIENTE I</v>
      </c>
      <c r="D75" s="35">
        <v>338</v>
      </c>
      <c r="E75" s="33" t="str">
        <f>VLOOKUP(D75,[1]apoio_Preços_MGS!$A$6:$F$238,6,FALSE)</f>
        <v>ANALISTA ESPECIALIZADO EM SAÚDE E MEIO AMBIENTE I - DIARISTA DIURNO - 40H</v>
      </c>
      <c r="F75" s="36">
        <f>IFERROR(VLOOKUP(D75,'[1]apoio_cód catmas'!$B$2:$C$863,2,FALSE),0)</f>
        <v>106453</v>
      </c>
      <c r="G75" s="33" t="str">
        <f>IF(H75="N/A",VLOOKUP(F75&amp;40,'[1]apoio_cód catmas'!$A$1:$G$233,4,FALSE),VLOOKUP(F75&amp;H75,'[1]apoio_cód catmas'!$A$1:$G$233,4,FALSE))</f>
        <v>ANALISTA ESPECIALIZADO EM SAUDE E MEIO AMBIENTE I - 20H,22H,30H, 36H, 40H OU 44H</v>
      </c>
      <c r="H75" s="36">
        <v>40</v>
      </c>
      <c r="I75" s="37">
        <v>0.02</v>
      </c>
      <c r="J75" s="38" t="s">
        <v>46</v>
      </c>
      <c r="K75" s="39">
        <v>2</v>
      </c>
      <c r="L75" s="39">
        <f t="shared" si="2"/>
        <v>120</v>
      </c>
      <c r="M75" s="40">
        <f>VLOOKUP(D75,[1]apoio_Preços_MGS!$A$6:$AN$238,18,FALSE)</f>
        <v>6473.0354509297531</v>
      </c>
      <c r="N75" s="40">
        <f>VLOOKUP(D75,[1]apoio_Preços_MGS!$A$6:$AN$238,19,FALSE)</f>
        <v>0</v>
      </c>
      <c r="O75" s="40">
        <f>VLOOKUP(D75,[1]apoio_Preços_MGS!$A$6:$AN$238,20,FALSE)</f>
        <v>0</v>
      </c>
      <c r="P75" s="40">
        <f>VLOOKUP(D75,[1]apoio_Preços_MGS!$A$6:$AN$238,21,FALSE)</f>
        <v>0</v>
      </c>
      <c r="Q75" s="40">
        <f>VLOOKUP(D75,[1]apoio_Preços_MGS!$A$6:$AN$238,22,FALSE)</f>
        <v>0</v>
      </c>
      <c r="R75" s="40">
        <f>VLOOKUP(D75,[1]apoio_Preços_MGS!$A$6:$AN$238,23,FALSE)</f>
        <v>0</v>
      </c>
      <c r="S75" s="40">
        <f>VLOOKUP(D75,[1]apoio_Preços_MGS!$A$6:$AN$238,24,FALSE)</f>
        <v>0</v>
      </c>
      <c r="T75" s="40">
        <f>VLOOKUP(D75,[1]apoio_Preços_MGS!$A$6:$AN$238,25,FALSE)</f>
        <v>0</v>
      </c>
      <c r="U75" s="40">
        <f t="shared" si="3"/>
        <v>6473.0354509297531</v>
      </c>
      <c r="V75" s="41">
        <f>VLOOKUP(D75,[1]apoio_Preços_MGS!$A$6:$AN$238,27,FALSE)</f>
        <v>0.81799999999999995</v>
      </c>
      <c r="W75" s="40">
        <f t="shared" si="4"/>
        <v>5294.942998860538</v>
      </c>
      <c r="X75" s="40">
        <f>VLOOKUP(D75,[1]apoio_Preços_MGS!$A$6:$AN$238,29,FALSE)</f>
        <v>0</v>
      </c>
      <c r="Y75" s="40">
        <f>VLOOKUP(D75,[1]apoio_Preços_MGS!$A$6:$AN$238,30,FALSE)</f>
        <v>5.1878512396694214</v>
      </c>
      <c r="Z75" s="40">
        <f t="shared" si="5"/>
        <v>5.1878512396694214</v>
      </c>
      <c r="AA75" s="40">
        <f>VLOOKUP(D75,[1]apoio_Preços_MGS!$A$6:$AN$238,32,FALSE)</f>
        <v>9.6</v>
      </c>
      <c r="AB75" s="40">
        <f>VLOOKUP(D75,[1]apoio_Preços_MGS!$A$6:$AN$238,33,FALSE)</f>
        <v>44.467396694214884</v>
      </c>
      <c r="AC75" s="41">
        <f>VLOOKUP(D75,[1]apoio_Preços_MGS!$A$6:$AN$238,34,FALSE)</f>
        <v>0</v>
      </c>
      <c r="AD75" s="40">
        <f>(U75+W75+Z75+AB75+AA75+VLOOKUP(C75,[1]apoio_Prec_Folha!$A:$S,7,FALSE))*AC75</f>
        <v>0</v>
      </c>
      <c r="AE75" s="42">
        <f>VLOOKUP(D75,[1]apoio_Preços_MGS!$A$6:$AN$238,36,FALSE)</f>
        <v>7.0000000000000007E-2</v>
      </c>
      <c r="AF75" s="40">
        <f>(U75+W75+Z75+AB75+AD75+AA75+VLOOKUP(C75,[1]apoio_Prec_Folha!$A:$S,7,FALSE))*AE75</f>
        <v>866.30275884069238</v>
      </c>
      <c r="AG75" s="40">
        <f t="shared" si="6"/>
        <v>12693.53</v>
      </c>
      <c r="AH75" s="43">
        <f t="shared" si="7"/>
        <v>14302.56</v>
      </c>
      <c r="AI75" s="43">
        <f t="shared" si="8"/>
        <v>28605.119999999999</v>
      </c>
      <c r="AJ75" s="43">
        <f t="shared" si="9"/>
        <v>1716307.2</v>
      </c>
      <c r="AK75" s="44">
        <f>VLOOKUP(D75,[1]apoio_Preços_MGS!$A$6:$AN$238,39,FALSE)</f>
        <v>181.81818181818184</v>
      </c>
      <c r="AL75" s="44">
        <f>IF(J75="demais municípios",VLOOKUP(D75,[1]apoio_Preços_MGS!$A$6:$AN$238,39,FALSE),0)</f>
        <v>181.81818181818184</v>
      </c>
      <c r="AM75" s="44">
        <v>0</v>
      </c>
      <c r="AN75" s="45">
        <f t="shared" ref="AN75:AN78" si="38">AK75*K75</f>
        <v>363.63636363636368</v>
      </c>
      <c r="AO75" s="44">
        <f>VLOOKUP(D75,[1]apoio_Preços_MGS!$A$6:$AN$238,40,FALSE)</f>
        <v>548.52</v>
      </c>
      <c r="AP75" s="44">
        <f>IF(J75="demais municípios",VLOOKUP(D75,[1]apoio_Preços_MGS!$A$6:$AN$238,40,FALSE),0)</f>
        <v>548.52</v>
      </c>
      <c r="AQ75" s="44">
        <v>0</v>
      </c>
      <c r="AR75" s="45">
        <f t="shared" ref="AR75:AR78" si="39">AO75*K75</f>
        <v>1097.04</v>
      </c>
      <c r="AS75" s="45">
        <f t="shared" si="34"/>
        <v>1460.6763636363637</v>
      </c>
      <c r="AT75" s="45">
        <f t="shared" si="35"/>
        <v>87640.581818181818</v>
      </c>
      <c r="AU75" s="62"/>
      <c r="AV75" s="46"/>
      <c r="AW75" s="47"/>
      <c r="AX75" s="48"/>
      <c r="AY75" s="49"/>
      <c r="BA75" s="48"/>
    </row>
    <row r="76" spans="1:53" ht="19.5" customHeight="1" x14ac:dyDescent="0.25">
      <c r="A76" s="33" t="str">
        <f t="shared" si="30"/>
        <v>106453400,03</v>
      </c>
      <c r="B76" s="33" t="str">
        <f t="shared" si="31"/>
        <v>3380,03</v>
      </c>
      <c r="C76" s="34" t="str">
        <f>VLOOKUP(D76,[1]apoio_Preços_MGS!$A$6:$B$238,2,FALSE)</f>
        <v>ANALISTA ESPECIALIZADO EM SAÚDE E MEIO AMBIENTE I</v>
      </c>
      <c r="D76" s="35">
        <v>338</v>
      </c>
      <c r="E76" s="33" t="str">
        <f>VLOOKUP(D76,[1]apoio_Preços_MGS!$A$6:$F$238,6,FALSE)</f>
        <v>ANALISTA ESPECIALIZADO EM SAÚDE E MEIO AMBIENTE I - DIARISTA DIURNO - 40H</v>
      </c>
      <c r="F76" s="36">
        <f>IFERROR(VLOOKUP(D76,'[1]apoio_cód catmas'!$B$2:$C$863,2,FALSE),0)</f>
        <v>106453</v>
      </c>
      <c r="G76" s="33" t="str">
        <f>IF(H76="N/A",VLOOKUP(F76&amp;40,'[1]apoio_cód catmas'!$A$1:$G$233,4,FALSE),VLOOKUP(F76&amp;H76,'[1]apoio_cód catmas'!$A$1:$G$233,4,FALSE))</f>
        <v>ANALISTA ESPECIALIZADO EM SAUDE E MEIO AMBIENTE I - 20H,22H,30H, 36H, 40H OU 44H</v>
      </c>
      <c r="H76" s="36">
        <v>40</v>
      </c>
      <c r="I76" s="37">
        <v>0.03</v>
      </c>
      <c r="J76" s="38" t="s">
        <v>46</v>
      </c>
      <c r="K76" s="39">
        <v>11</v>
      </c>
      <c r="L76" s="39">
        <f t="shared" si="2"/>
        <v>660</v>
      </c>
      <c r="M76" s="40">
        <f>VLOOKUP(D76,[1]apoio_Preços_MGS!$A$6:$AN$238,18,FALSE)</f>
        <v>6473.0354509297531</v>
      </c>
      <c r="N76" s="40">
        <f>VLOOKUP(D76,[1]apoio_Preços_MGS!$A$6:$AN$238,19,FALSE)</f>
        <v>0</v>
      </c>
      <c r="O76" s="40">
        <f>VLOOKUP(D76,[1]apoio_Preços_MGS!$A$6:$AN$238,20,FALSE)</f>
        <v>0</v>
      </c>
      <c r="P76" s="40">
        <f>VLOOKUP(D76,[1]apoio_Preços_MGS!$A$6:$AN$238,21,FALSE)</f>
        <v>0</v>
      </c>
      <c r="Q76" s="40">
        <f>VLOOKUP(D76,[1]apoio_Preços_MGS!$A$6:$AN$238,22,FALSE)</f>
        <v>0</v>
      </c>
      <c r="R76" s="40">
        <f>VLOOKUP(D76,[1]apoio_Preços_MGS!$A$6:$AN$238,23,FALSE)</f>
        <v>0</v>
      </c>
      <c r="S76" s="40">
        <f>VLOOKUP(D76,[1]apoio_Preços_MGS!$A$6:$AN$238,24,FALSE)</f>
        <v>0</v>
      </c>
      <c r="T76" s="40">
        <f>VLOOKUP(D76,[1]apoio_Preços_MGS!$A$6:$AN$238,25,FALSE)</f>
        <v>0</v>
      </c>
      <c r="U76" s="40">
        <f t="shared" si="3"/>
        <v>6473.0354509297531</v>
      </c>
      <c r="V76" s="41">
        <f>VLOOKUP(D76,[1]apoio_Preços_MGS!$A$6:$AN$238,27,FALSE)</f>
        <v>0.81799999999999995</v>
      </c>
      <c r="W76" s="40">
        <f t="shared" si="4"/>
        <v>5294.942998860538</v>
      </c>
      <c r="X76" s="40">
        <f>VLOOKUP(D76,[1]apoio_Preços_MGS!$A$6:$AN$238,29,FALSE)</f>
        <v>0</v>
      </c>
      <c r="Y76" s="40">
        <f>VLOOKUP(D76,[1]apoio_Preços_MGS!$A$6:$AN$238,30,FALSE)</f>
        <v>5.1878512396694214</v>
      </c>
      <c r="Z76" s="40">
        <f t="shared" si="5"/>
        <v>5.1878512396694214</v>
      </c>
      <c r="AA76" s="40">
        <f>VLOOKUP(D76,[1]apoio_Preços_MGS!$A$6:$AN$238,32,FALSE)</f>
        <v>9.6</v>
      </c>
      <c r="AB76" s="40">
        <f>VLOOKUP(D76,[1]apoio_Preços_MGS!$A$6:$AN$238,33,FALSE)</f>
        <v>44.467396694214884</v>
      </c>
      <c r="AC76" s="41">
        <f>VLOOKUP(D76,[1]apoio_Preços_MGS!$A$6:$AN$238,34,FALSE)</f>
        <v>0</v>
      </c>
      <c r="AD76" s="40">
        <f>(U76+W76+Z76+AB76+AA76+VLOOKUP(C76,[1]apoio_Prec_Folha!$A:$S,7,FALSE))*AC76</f>
        <v>0</v>
      </c>
      <c r="AE76" s="42">
        <f>VLOOKUP(D76,[1]apoio_Preços_MGS!$A$6:$AN$238,36,FALSE)</f>
        <v>7.0000000000000007E-2</v>
      </c>
      <c r="AF76" s="40">
        <f>(U76+W76+Z76+AB76+AD76+AA76+VLOOKUP(C76,[1]apoio_Prec_Folha!$A:$S,7,FALSE))*AE76</f>
        <v>866.30275884069238</v>
      </c>
      <c r="AG76" s="40">
        <f t="shared" si="6"/>
        <v>12693.53</v>
      </c>
      <c r="AH76" s="43">
        <f t="shared" si="7"/>
        <v>14465.54</v>
      </c>
      <c r="AI76" s="43">
        <f t="shared" si="8"/>
        <v>159120.94</v>
      </c>
      <c r="AJ76" s="43">
        <f t="shared" si="9"/>
        <v>9547256.4000000004</v>
      </c>
      <c r="AK76" s="44">
        <f>VLOOKUP(D76,[1]apoio_Preços_MGS!$A$6:$AN$238,39,FALSE)</f>
        <v>181.81818181818184</v>
      </c>
      <c r="AL76" s="44">
        <f>IF(J76="demais municípios",VLOOKUP(D76,[1]apoio_Preços_MGS!$A$6:$AN$238,39,FALSE),0)</f>
        <v>181.81818181818184</v>
      </c>
      <c r="AM76" s="44">
        <v>0</v>
      </c>
      <c r="AN76" s="45">
        <f t="shared" si="38"/>
        <v>2000.0000000000002</v>
      </c>
      <c r="AO76" s="44">
        <f>VLOOKUP(D76,[1]apoio_Preços_MGS!$A$6:$AN$238,40,FALSE)</f>
        <v>548.52</v>
      </c>
      <c r="AP76" s="44">
        <f>IF(J76="demais municípios",VLOOKUP(D76,[1]apoio_Preços_MGS!$A$6:$AN$238,40,FALSE),0)</f>
        <v>548.52</v>
      </c>
      <c r="AQ76" s="44">
        <v>0</v>
      </c>
      <c r="AR76" s="45">
        <f t="shared" si="39"/>
        <v>6033.7199999999993</v>
      </c>
      <c r="AS76" s="45">
        <f t="shared" si="34"/>
        <v>8033.7199999999993</v>
      </c>
      <c r="AT76" s="45">
        <f t="shared" si="35"/>
        <v>482023.19999999995</v>
      </c>
      <c r="AU76" s="62"/>
      <c r="AV76" s="46"/>
      <c r="AW76" s="47"/>
      <c r="AX76" s="48"/>
      <c r="AY76" s="49"/>
      <c r="BA76" s="48"/>
    </row>
    <row r="77" spans="1:53" ht="19.5" customHeight="1" x14ac:dyDescent="0.25">
      <c r="A77" s="33" t="str">
        <f t="shared" si="30"/>
        <v>106453400,035</v>
      </c>
      <c r="B77" s="33" t="str">
        <f t="shared" si="31"/>
        <v>3380,035</v>
      </c>
      <c r="C77" s="34" t="str">
        <f>VLOOKUP(D77,[1]apoio_Preços_MGS!$A$6:$B$238,2,FALSE)</f>
        <v>ANALISTA ESPECIALIZADO EM SAÚDE E MEIO AMBIENTE I</v>
      </c>
      <c r="D77" s="35">
        <v>338</v>
      </c>
      <c r="E77" s="33" t="str">
        <f>VLOOKUP(D77,[1]apoio_Preços_MGS!$A$6:$F$238,6,FALSE)</f>
        <v>ANALISTA ESPECIALIZADO EM SAÚDE E MEIO AMBIENTE I - DIARISTA DIURNO - 40H</v>
      </c>
      <c r="F77" s="36">
        <f>IFERROR(VLOOKUP(D77,'[1]apoio_cód catmas'!$B$2:$C$863,2,FALSE),0)</f>
        <v>106453</v>
      </c>
      <c r="G77" s="33" t="str">
        <f>IF(H77="N/A",VLOOKUP(F77&amp;40,'[1]apoio_cód catmas'!$A$1:$G$233,4,FALSE),VLOOKUP(F77&amp;H77,'[1]apoio_cód catmas'!$A$1:$G$233,4,FALSE))</f>
        <v>ANALISTA ESPECIALIZADO EM SAUDE E MEIO AMBIENTE I - 20H,22H,30H, 36H, 40H OU 44H</v>
      </c>
      <c r="H77" s="36">
        <v>40</v>
      </c>
      <c r="I77" s="37">
        <v>3.5000000000000003E-2</v>
      </c>
      <c r="J77" s="38" t="s">
        <v>46</v>
      </c>
      <c r="K77" s="39">
        <v>3</v>
      </c>
      <c r="L77" s="39">
        <f t="shared" si="2"/>
        <v>180</v>
      </c>
      <c r="M77" s="40">
        <f>VLOOKUP(D77,[1]apoio_Preços_MGS!$A$6:$AN$238,18,FALSE)</f>
        <v>6473.0354509297531</v>
      </c>
      <c r="N77" s="40">
        <f>VLOOKUP(D77,[1]apoio_Preços_MGS!$A$6:$AN$238,19,FALSE)</f>
        <v>0</v>
      </c>
      <c r="O77" s="40">
        <f>VLOOKUP(D77,[1]apoio_Preços_MGS!$A$6:$AN$238,20,FALSE)</f>
        <v>0</v>
      </c>
      <c r="P77" s="40">
        <f>VLOOKUP(D77,[1]apoio_Preços_MGS!$A$6:$AN$238,21,FALSE)</f>
        <v>0</v>
      </c>
      <c r="Q77" s="40">
        <f>VLOOKUP(D77,[1]apoio_Preços_MGS!$A$6:$AN$238,22,FALSE)</f>
        <v>0</v>
      </c>
      <c r="R77" s="40">
        <f>VLOOKUP(D77,[1]apoio_Preços_MGS!$A$6:$AN$238,23,FALSE)</f>
        <v>0</v>
      </c>
      <c r="S77" s="40">
        <f>VLOOKUP(D77,[1]apoio_Preços_MGS!$A$6:$AN$238,24,FALSE)</f>
        <v>0</v>
      </c>
      <c r="T77" s="40">
        <f>VLOOKUP(D77,[1]apoio_Preços_MGS!$A$6:$AN$238,25,FALSE)</f>
        <v>0</v>
      </c>
      <c r="U77" s="40">
        <f t="shared" si="3"/>
        <v>6473.0354509297531</v>
      </c>
      <c r="V77" s="41">
        <f>VLOOKUP(D77,[1]apoio_Preços_MGS!$A$6:$AN$238,27,FALSE)</f>
        <v>0.81799999999999995</v>
      </c>
      <c r="W77" s="40">
        <f t="shared" si="4"/>
        <v>5294.942998860538</v>
      </c>
      <c r="X77" s="40">
        <f>VLOOKUP(D77,[1]apoio_Preços_MGS!$A$6:$AN$238,29,FALSE)</f>
        <v>0</v>
      </c>
      <c r="Y77" s="40">
        <f>VLOOKUP(D77,[1]apoio_Preços_MGS!$A$6:$AN$238,30,FALSE)</f>
        <v>5.1878512396694214</v>
      </c>
      <c r="Z77" s="40">
        <f t="shared" si="5"/>
        <v>5.1878512396694214</v>
      </c>
      <c r="AA77" s="40">
        <f>VLOOKUP(D77,[1]apoio_Preços_MGS!$A$6:$AN$238,32,FALSE)</f>
        <v>9.6</v>
      </c>
      <c r="AB77" s="40">
        <f>VLOOKUP(D77,[1]apoio_Preços_MGS!$A$6:$AN$238,33,FALSE)</f>
        <v>44.467396694214884</v>
      </c>
      <c r="AC77" s="41">
        <f>VLOOKUP(D77,[1]apoio_Preços_MGS!$A$6:$AN$238,34,FALSE)</f>
        <v>0</v>
      </c>
      <c r="AD77" s="40">
        <f>(U77+W77+Z77+AB77+AA77+VLOOKUP(C77,[1]apoio_Prec_Folha!$A:$S,7,FALSE))*AC77</f>
        <v>0</v>
      </c>
      <c r="AE77" s="42">
        <f>VLOOKUP(D77,[1]apoio_Preços_MGS!$A$6:$AN$238,36,FALSE)</f>
        <v>7.0000000000000007E-2</v>
      </c>
      <c r="AF77" s="40">
        <f>(U77+W77+Z77+AB77+AD77+AA77+VLOOKUP(C77,[1]apoio_Prec_Folha!$A:$S,7,FALSE))*AE77</f>
        <v>866.30275884069238</v>
      </c>
      <c r="AG77" s="40">
        <f t="shared" si="6"/>
        <v>12693.53</v>
      </c>
      <c r="AH77" s="43">
        <f t="shared" si="7"/>
        <v>14548.43</v>
      </c>
      <c r="AI77" s="43">
        <f t="shared" si="8"/>
        <v>43645.29</v>
      </c>
      <c r="AJ77" s="43">
        <f t="shared" si="9"/>
        <v>2618717.4</v>
      </c>
      <c r="AK77" s="44">
        <f>VLOOKUP(D77,[1]apoio_Preços_MGS!$A$6:$AN$238,39,FALSE)</f>
        <v>181.81818181818184</v>
      </c>
      <c r="AL77" s="44">
        <f>IF(J77="demais municípios",VLOOKUP(D77,[1]apoio_Preços_MGS!$A$6:$AN$238,39,FALSE),0)</f>
        <v>181.81818181818184</v>
      </c>
      <c r="AM77" s="44">
        <v>0</v>
      </c>
      <c r="AN77" s="45">
        <f t="shared" si="38"/>
        <v>545.4545454545455</v>
      </c>
      <c r="AO77" s="44">
        <f>VLOOKUP(D77,[1]apoio_Preços_MGS!$A$6:$AN$238,40,FALSE)</f>
        <v>548.52</v>
      </c>
      <c r="AP77" s="44">
        <f>IF(J77="demais municípios",VLOOKUP(D77,[1]apoio_Preços_MGS!$A$6:$AN$238,40,FALSE),0)</f>
        <v>548.52</v>
      </c>
      <c r="AQ77" s="44">
        <v>0</v>
      </c>
      <c r="AR77" s="45">
        <f t="shared" si="39"/>
        <v>1645.56</v>
      </c>
      <c r="AS77" s="45">
        <f t="shared" si="34"/>
        <v>2191.0145454545454</v>
      </c>
      <c r="AT77" s="45">
        <f t="shared" si="35"/>
        <v>131460.87272727274</v>
      </c>
      <c r="AU77" s="62"/>
      <c r="AV77" s="46"/>
      <c r="AW77" s="47"/>
      <c r="AX77" s="48"/>
      <c r="AY77" s="49"/>
      <c r="BA77" s="48"/>
    </row>
    <row r="78" spans="1:53" ht="19.5" customHeight="1" x14ac:dyDescent="0.25">
      <c r="A78" s="33" t="str">
        <f t="shared" si="30"/>
        <v>106453400,04</v>
      </c>
      <c r="B78" s="33" t="str">
        <f t="shared" si="31"/>
        <v>3380,04</v>
      </c>
      <c r="C78" s="34" t="str">
        <f>VLOOKUP(D78,[1]apoio_Preços_MGS!$A$6:$B$238,2,FALSE)</f>
        <v>ANALISTA ESPECIALIZADO EM SAÚDE E MEIO AMBIENTE I</v>
      </c>
      <c r="D78" s="35">
        <v>338</v>
      </c>
      <c r="E78" s="33" t="str">
        <f>VLOOKUP(D78,[1]apoio_Preços_MGS!$A$6:$F$238,6,FALSE)</f>
        <v>ANALISTA ESPECIALIZADO EM SAÚDE E MEIO AMBIENTE I - DIARISTA DIURNO - 40H</v>
      </c>
      <c r="F78" s="36">
        <f>IFERROR(VLOOKUP(D78,'[1]apoio_cód catmas'!$B$2:$C$863,2,FALSE),0)</f>
        <v>106453</v>
      </c>
      <c r="G78" s="33" t="str">
        <f>IF(H78="N/A",VLOOKUP(F78&amp;40,'[1]apoio_cód catmas'!$A$1:$G$233,4,FALSE),VLOOKUP(F78&amp;H78,'[1]apoio_cód catmas'!$A$1:$G$233,4,FALSE))</f>
        <v>ANALISTA ESPECIALIZADO EM SAUDE E MEIO AMBIENTE I - 20H,22H,30H, 36H, 40H OU 44H</v>
      </c>
      <c r="H78" s="36">
        <v>40</v>
      </c>
      <c r="I78" s="37">
        <v>0.04</v>
      </c>
      <c r="J78" s="38" t="s">
        <v>46</v>
      </c>
      <c r="K78" s="39">
        <v>2</v>
      </c>
      <c r="L78" s="39">
        <f t="shared" si="2"/>
        <v>120</v>
      </c>
      <c r="M78" s="40">
        <f>VLOOKUP(D78,[1]apoio_Preços_MGS!$A$6:$AN$238,18,FALSE)</f>
        <v>6473.0354509297531</v>
      </c>
      <c r="N78" s="40">
        <f>VLOOKUP(D78,[1]apoio_Preços_MGS!$A$6:$AN$238,19,FALSE)</f>
        <v>0</v>
      </c>
      <c r="O78" s="40">
        <f>VLOOKUP(D78,[1]apoio_Preços_MGS!$A$6:$AN$238,20,FALSE)</f>
        <v>0</v>
      </c>
      <c r="P78" s="40">
        <f>VLOOKUP(D78,[1]apoio_Preços_MGS!$A$6:$AN$238,21,FALSE)</f>
        <v>0</v>
      </c>
      <c r="Q78" s="40">
        <f>VLOOKUP(D78,[1]apoio_Preços_MGS!$A$6:$AN$238,22,FALSE)</f>
        <v>0</v>
      </c>
      <c r="R78" s="40">
        <f>VLOOKUP(D78,[1]apoio_Preços_MGS!$A$6:$AN$238,23,FALSE)</f>
        <v>0</v>
      </c>
      <c r="S78" s="40">
        <f>VLOOKUP(D78,[1]apoio_Preços_MGS!$A$6:$AN$238,24,FALSE)</f>
        <v>0</v>
      </c>
      <c r="T78" s="40">
        <f>VLOOKUP(D78,[1]apoio_Preços_MGS!$A$6:$AN$238,25,FALSE)</f>
        <v>0</v>
      </c>
      <c r="U78" s="40">
        <f t="shared" si="3"/>
        <v>6473.0354509297531</v>
      </c>
      <c r="V78" s="41">
        <f>VLOOKUP(D78,[1]apoio_Preços_MGS!$A$6:$AN$238,27,FALSE)</f>
        <v>0.81799999999999995</v>
      </c>
      <c r="W78" s="40">
        <f t="shared" si="4"/>
        <v>5294.942998860538</v>
      </c>
      <c r="X78" s="40">
        <f>VLOOKUP(D78,[1]apoio_Preços_MGS!$A$6:$AN$238,29,FALSE)</f>
        <v>0</v>
      </c>
      <c r="Y78" s="40">
        <f>VLOOKUP(D78,[1]apoio_Preços_MGS!$A$6:$AN$238,30,FALSE)</f>
        <v>5.1878512396694214</v>
      </c>
      <c r="Z78" s="40">
        <f t="shared" si="5"/>
        <v>5.1878512396694214</v>
      </c>
      <c r="AA78" s="40">
        <f>VLOOKUP(D78,[1]apoio_Preços_MGS!$A$6:$AN$238,32,FALSE)</f>
        <v>9.6</v>
      </c>
      <c r="AB78" s="40">
        <f>VLOOKUP(D78,[1]apoio_Preços_MGS!$A$6:$AN$238,33,FALSE)</f>
        <v>44.467396694214884</v>
      </c>
      <c r="AC78" s="41">
        <f>VLOOKUP(D78,[1]apoio_Preços_MGS!$A$6:$AN$238,34,FALSE)</f>
        <v>0</v>
      </c>
      <c r="AD78" s="40">
        <f>(U78+W78+Z78+AB78+AA78+VLOOKUP(C78,[1]apoio_Prec_Folha!$A:$S,7,FALSE))*AC78</f>
        <v>0</v>
      </c>
      <c r="AE78" s="42">
        <f>VLOOKUP(D78,[1]apoio_Preços_MGS!$A$6:$AN$238,36,FALSE)</f>
        <v>7.0000000000000007E-2</v>
      </c>
      <c r="AF78" s="40">
        <f>(U78+W78+Z78+AB78+AD78+AA78+VLOOKUP(C78,[1]apoio_Prec_Folha!$A:$S,7,FALSE))*AE78</f>
        <v>866.30275884069238</v>
      </c>
      <c r="AG78" s="40">
        <f t="shared" si="6"/>
        <v>12693.53</v>
      </c>
      <c r="AH78" s="43">
        <f t="shared" si="7"/>
        <v>14632.33</v>
      </c>
      <c r="AI78" s="43">
        <f t="shared" si="8"/>
        <v>29264.66</v>
      </c>
      <c r="AJ78" s="43">
        <f t="shared" si="9"/>
        <v>1755879.6</v>
      </c>
      <c r="AK78" s="44">
        <f>VLOOKUP(D78,[1]apoio_Preços_MGS!$A$6:$AN$238,39,FALSE)</f>
        <v>181.81818181818184</v>
      </c>
      <c r="AL78" s="44">
        <f>IF(J78="demais municípios",VLOOKUP(D78,[1]apoio_Preços_MGS!$A$6:$AN$238,39,FALSE),0)</f>
        <v>181.81818181818184</v>
      </c>
      <c r="AM78" s="44">
        <v>0</v>
      </c>
      <c r="AN78" s="45">
        <f t="shared" si="38"/>
        <v>363.63636363636368</v>
      </c>
      <c r="AO78" s="44">
        <f>VLOOKUP(D78,[1]apoio_Preços_MGS!$A$6:$AN$238,40,FALSE)</f>
        <v>548.52</v>
      </c>
      <c r="AP78" s="44">
        <f>IF(J78="demais municípios",VLOOKUP(D78,[1]apoio_Preços_MGS!$A$6:$AN$238,40,FALSE),0)</f>
        <v>548.52</v>
      </c>
      <c r="AQ78" s="44">
        <v>0</v>
      </c>
      <c r="AR78" s="45">
        <f t="shared" si="39"/>
        <v>1097.04</v>
      </c>
      <c r="AS78" s="45">
        <f t="shared" si="34"/>
        <v>1460.6763636363637</v>
      </c>
      <c r="AT78" s="45">
        <f t="shared" si="35"/>
        <v>87640.581818181818</v>
      </c>
      <c r="AU78" s="62"/>
      <c r="AV78" s="46"/>
      <c r="AW78" s="47"/>
      <c r="AX78" s="48"/>
      <c r="AY78" s="49"/>
      <c r="BA78" s="48"/>
    </row>
    <row r="79" spans="1:53" ht="19.5" customHeight="1" x14ac:dyDescent="0.25">
      <c r="A79" s="33" t="str">
        <f t="shared" si="30"/>
        <v>106453400,05</v>
      </c>
      <c r="B79" s="33" t="str">
        <f t="shared" si="31"/>
        <v>3380,05</v>
      </c>
      <c r="C79" s="34" t="str">
        <f>VLOOKUP(D79,[1]apoio_Preços_MGS!$A$6:$B$238,2,FALSE)</f>
        <v>ANALISTA ESPECIALIZADO EM SAÚDE E MEIO AMBIENTE I</v>
      </c>
      <c r="D79" s="35">
        <v>338</v>
      </c>
      <c r="E79" s="33" t="str">
        <f>VLOOKUP(D79,[1]apoio_Preços_MGS!$A$6:$F$238,6,FALSE)</f>
        <v>ANALISTA ESPECIALIZADO EM SAÚDE E MEIO AMBIENTE I - DIARISTA DIURNO - 40H</v>
      </c>
      <c r="F79" s="36">
        <f>IFERROR(VLOOKUP(D79,'[1]apoio_cód catmas'!$B$2:$C$863,2,FALSE),0)</f>
        <v>106453</v>
      </c>
      <c r="G79" s="33" t="str">
        <f>IF(H79="N/A",VLOOKUP(F79&amp;40,'[1]apoio_cód catmas'!$A$1:$G$233,4,FALSE),VLOOKUP(F79&amp;H79,'[1]apoio_cód catmas'!$A$1:$G$233,4,FALSE))</f>
        <v>ANALISTA ESPECIALIZADO EM SAUDE E MEIO AMBIENTE I - 20H,22H,30H, 36H, 40H OU 44H</v>
      </c>
      <c r="H79" s="36">
        <v>40</v>
      </c>
      <c r="I79" s="37">
        <v>0.05</v>
      </c>
      <c r="J79" s="38" t="s">
        <v>47</v>
      </c>
      <c r="K79" s="39">
        <v>42</v>
      </c>
      <c r="L79" s="39">
        <f t="shared" si="2"/>
        <v>2520</v>
      </c>
      <c r="M79" s="40">
        <f>VLOOKUP(D79,[1]apoio_Preços_MGS!$A$6:$AN$238,18,FALSE)</f>
        <v>6473.0354509297531</v>
      </c>
      <c r="N79" s="40">
        <f>VLOOKUP(D79,[1]apoio_Preços_MGS!$A$6:$AN$238,19,FALSE)</f>
        <v>0</v>
      </c>
      <c r="O79" s="40">
        <f>VLOOKUP(D79,[1]apoio_Preços_MGS!$A$6:$AN$238,20,FALSE)</f>
        <v>0</v>
      </c>
      <c r="P79" s="40">
        <f>VLOOKUP(D79,[1]apoio_Preços_MGS!$A$6:$AN$238,21,FALSE)</f>
        <v>0</v>
      </c>
      <c r="Q79" s="40">
        <f>VLOOKUP(D79,[1]apoio_Preços_MGS!$A$6:$AN$238,22,FALSE)</f>
        <v>0</v>
      </c>
      <c r="R79" s="40">
        <f>VLOOKUP(D79,[1]apoio_Preços_MGS!$A$6:$AN$238,23,FALSE)</f>
        <v>0</v>
      </c>
      <c r="S79" s="40">
        <f>VLOOKUP(D79,[1]apoio_Preços_MGS!$A$6:$AN$238,24,FALSE)</f>
        <v>0</v>
      </c>
      <c r="T79" s="40">
        <f>VLOOKUP(D79,[1]apoio_Preços_MGS!$A$6:$AN$238,25,FALSE)</f>
        <v>0</v>
      </c>
      <c r="U79" s="40">
        <f t="shared" si="3"/>
        <v>6473.0354509297531</v>
      </c>
      <c r="V79" s="41">
        <f>VLOOKUP(D79,[1]apoio_Preços_MGS!$A$6:$AN$238,27,FALSE)</f>
        <v>0.81799999999999995</v>
      </c>
      <c r="W79" s="40">
        <f t="shared" si="4"/>
        <v>5294.942998860538</v>
      </c>
      <c r="X79" s="40">
        <f>VLOOKUP(D79,[1]apoio_Preços_MGS!$A$6:$AN$238,29,FALSE)</f>
        <v>0</v>
      </c>
      <c r="Y79" s="40">
        <f>VLOOKUP(D79,[1]apoio_Preços_MGS!$A$6:$AN$238,30,FALSE)</f>
        <v>5.1878512396694214</v>
      </c>
      <c r="Z79" s="40">
        <f t="shared" si="5"/>
        <v>5.1878512396694214</v>
      </c>
      <c r="AA79" s="40">
        <f>VLOOKUP(D79,[1]apoio_Preços_MGS!$A$6:$AN$238,32,FALSE)</f>
        <v>9.6</v>
      </c>
      <c r="AB79" s="40">
        <f>VLOOKUP(D79,[1]apoio_Preços_MGS!$A$6:$AN$238,33,FALSE)</f>
        <v>44.467396694214884</v>
      </c>
      <c r="AC79" s="41">
        <f>VLOOKUP(D79,[1]apoio_Preços_MGS!$A$6:$AN$238,34,FALSE)</f>
        <v>0</v>
      </c>
      <c r="AD79" s="40">
        <f>(U79+W79+Z79+AB79+AA79+VLOOKUP(C79,[1]apoio_Prec_Folha!$A:$S,7,FALSE))*AC79</f>
        <v>0</v>
      </c>
      <c r="AE79" s="42">
        <f>VLOOKUP(D79,[1]apoio_Preços_MGS!$A$6:$AN$238,36,FALSE)</f>
        <v>7.0000000000000007E-2</v>
      </c>
      <c r="AF79" s="40">
        <f>(U79+W79+Z79+AB79+AD79+AA79+VLOOKUP(C79,[1]apoio_Prec_Folha!$A:$S,7,FALSE))*AE79</f>
        <v>866.30275884069238</v>
      </c>
      <c r="AG79" s="40">
        <f t="shared" si="6"/>
        <v>12693.53</v>
      </c>
      <c r="AH79" s="43">
        <f t="shared" si="7"/>
        <v>14802.94</v>
      </c>
      <c r="AI79" s="43">
        <f t="shared" si="8"/>
        <v>621723.48</v>
      </c>
      <c r="AJ79" s="43">
        <f t="shared" si="9"/>
        <v>37303408.800000004</v>
      </c>
      <c r="AK79" s="44">
        <f>VLOOKUP(D79,[1]apoio_Preços_MGS!$A$6:$AN$238,39,FALSE)</f>
        <v>181.81818181818184</v>
      </c>
      <c r="AL79" s="44">
        <f>IF(J79="demais municípios",VLOOKUP(D79,[1]apoio_Preços_MGS!$A$6:$AN$238,39,FALSE),0)</f>
        <v>0</v>
      </c>
      <c r="AM79" s="44">
        <f>TRUNC(ROUND(($I79)/(1-($I79)),5)*VLOOKUP(D79,[1]apoio_Preços_MGS!$A$6:$AN$238,39,FALSE)+VLOOKUP(D79,[1]apoio_Preços_MGS!$A$6:$AN$238,39,FALSE),2)</f>
        <v>191.38</v>
      </c>
      <c r="AN79" s="45">
        <f t="shared" si="32"/>
        <v>8037.96</v>
      </c>
      <c r="AO79" s="44">
        <f>VLOOKUP(D79,[1]apoio_Preços_MGS!$A$6:$AN$238,40,FALSE)</f>
        <v>548.52</v>
      </c>
      <c r="AP79" s="44">
        <f>IF(J79="demais municípios",VLOOKUP(D79,[1]apoio_Preços_MGS!$A$6:$AN$238,40,FALSE),0)</f>
        <v>0</v>
      </c>
      <c r="AQ79" s="44">
        <f>TRUNC(ROUND(($I79)/(1-($I79)),5)*VLOOKUP(D79,[1]apoio_Preços_MGS!$A$6:$AN$238,40,FALSE)+VLOOKUP(D79,[1]apoio_Preços_MGS!$A$6:$AN$238,40,FALSE),2)</f>
        <v>577.38</v>
      </c>
      <c r="AR79" s="45">
        <f t="shared" si="33"/>
        <v>24249.96</v>
      </c>
      <c r="AS79" s="45">
        <f t="shared" si="34"/>
        <v>32287.919999999998</v>
      </c>
      <c r="AT79" s="45">
        <f t="shared" si="35"/>
        <v>1937275.2</v>
      </c>
      <c r="AU79" s="62"/>
      <c r="AV79" s="46"/>
      <c r="AW79" s="47"/>
      <c r="AX79" s="48"/>
      <c r="AY79" s="49"/>
      <c r="BA79" s="48"/>
    </row>
    <row r="80" spans="1:53" ht="19.5" customHeight="1" x14ac:dyDescent="0.25">
      <c r="A80" s="33" t="str">
        <f t="shared" si="30"/>
        <v>106453440,05</v>
      </c>
      <c r="B80" s="33" t="str">
        <f t="shared" si="31"/>
        <v>3390,05</v>
      </c>
      <c r="C80" s="34" t="str">
        <f>VLOOKUP(D80,[1]apoio_Preços_MGS!$A$6:$B$238,2,FALSE)</f>
        <v>ANALISTA ESPECIALIZADO EM SAÚDE E MEIO AMBIENTE I</v>
      </c>
      <c r="D80" s="35">
        <v>339</v>
      </c>
      <c r="E80" s="33" t="str">
        <f>VLOOKUP(D80,[1]apoio_Preços_MGS!$A$6:$F$238,6,FALSE)</f>
        <v>ANALISTA ESPECIALIZADO EM SAÚDE E MEIO AMBIENTE I - DIARISTA DIURNO - 44H</v>
      </c>
      <c r="F80" s="36">
        <f>IFERROR(VLOOKUP(D80,'[1]apoio_cód catmas'!$B$2:$C$863,2,FALSE),0)</f>
        <v>106453</v>
      </c>
      <c r="G80" s="33" t="str">
        <f>IF(H80="N/A",VLOOKUP(F80&amp;40,'[1]apoio_cód catmas'!$A$1:$G$233,4,FALSE),VLOOKUP(F80&amp;H80,'[1]apoio_cód catmas'!$A$1:$G$233,4,FALSE))</f>
        <v>ANALISTA ESPECIALIZADO EM SAUDE E MEIO AMBIENTE I - 20H,22H,30H, 36H, 40H OU 44H</v>
      </c>
      <c r="H80" s="36">
        <v>44</v>
      </c>
      <c r="I80" s="37">
        <v>0.05</v>
      </c>
      <c r="J80" s="38" t="s">
        <v>47</v>
      </c>
      <c r="K80" s="39">
        <v>24</v>
      </c>
      <c r="L80" s="39">
        <f t="shared" si="2"/>
        <v>1440</v>
      </c>
      <c r="M80" s="40">
        <f>VLOOKUP(D80,[1]apoio_Preços_MGS!$A$6:$AN$238,18,FALSE)</f>
        <v>7120.3389960227278</v>
      </c>
      <c r="N80" s="40">
        <f>VLOOKUP(D80,[1]apoio_Preços_MGS!$A$6:$AN$238,19,FALSE)</f>
        <v>0</v>
      </c>
      <c r="O80" s="40">
        <f>VLOOKUP(D80,[1]apoio_Preços_MGS!$A$6:$AN$238,20,FALSE)</f>
        <v>0</v>
      </c>
      <c r="P80" s="40">
        <f>VLOOKUP(D80,[1]apoio_Preços_MGS!$A$6:$AN$238,21,FALSE)</f>
        <v>0</v>
      </c>
      <c r="Q80" s="40">
        <f>VLOOKUP(D80,[1]apoio_Preços_MGS!$A$6:$AN$238,22,FALSE)</f>
        <v>0</v>
      </c>
      <c r="R80" s="40">
        <f>VLOOKUP(D80,[1]apoio_Preços_MGS!$A$6:$AN$238,23,FALSE)</f>
        <v>0</v>
      </c>
      <c r="S80" s="40">
        <f>VLOOKUP(D80,[1]apoio_Preços_MGS!$A$6:$AN$238,24,FALSE)</f>
        <v>0</v>
      </c>
      <c r="T80" s="40">
        <f>VLOOKUP(D80,[1]apoio_Preços_MGS!$A$6:$AN$238,25,FALSE)</f>
        <v>0</v>
      </c>
      <c r="U80" s="40">
        <f t="shared" si="3"/>
        <v>7120.3389960227278</v>
      </c>
      <c r="V80" s="41">
        <f>VLOOKUP(D80,[1]apoio_Preços_MGS!$A$6:$AN$238,27,FALSE)</f>
        <v>0.81799999999999995</v>
      </c>
      <c r="W80" s="40">
        <f t="shared" si="4"/>
        <v>5824.4372987465913</v>
      </c>
      <c r="X80" s="40">
        <f>VLOOKUP(D80,[1]apoio_Preços_MGS!$A$6:$AN$238,29,FALSE)</f>
        <v>0</v>
      </c>
      <c r="Y80" s="40">
        <f>VLOOKUP(D80,[1]apoio_Preços_MGS!$A$6:$AN$238,30,FALSE)</f>
        <v>5.1878512396694214</v>
      </c>
      <c r="Z80" s="40">
        <f t="shared" si="5"/>
        <v>5.1878512396694214</v>
      </c>
      <c r="AA80" s="40">
        <f>VLOOKUP(D80,[1]apoio_Preços_MGS!$A$6:$AN$238,32,FALSE)</f>
        <v>9.6</v>
      </c>
      <c r="AB80" s="40">
        <f>VLOOKUP(D80,[1]apoio_Preços_MGS!$A$6:$AN$238,33,FALSE)</f>
        <v>39.256136363636365</v>
      </c>
      <c r="AC80" s="41">
        <f>VLOOKUP(D80,[1]apoio_Preços_MGS!$A$6:$AN$238,34,FALSE)</f>
        <v>0</v>
      </c>
      <c r="AD80" s="40">
        <f>(U80+W80+Z80+AB80+AA80+VLOOKUP(C80,[1]apoio_Prec_Folha!$A:$S,7,FALSE))*AC80</f>
        <v>0</v>
      </c>
      <c r="AE80" s="42">
        <f>VLOOKUP(D80,[1]apoio_Preços_MGS!$A$6:$AN$238,36,FALSE)</f>
        <v>7.0000000000000007E-2</v>
      </c>
      <c r="AF80" s="40">
        <f>(U80+W80+Z80+AB80+AD80+AA80+VLOOKUP(C80,[1]apoio_Prec_Folha!$A:$S,7,FALSE))*AE80</f>
        <v>948.31381976608384</v>
      </c>
      <c r="AG80" s="40">
        <f t="shared" si="6"/>
        <v>13947.13</v>
      </c>
      <c r="AH80" s="43">
        <f t="shared" si="7"/>
        <v>16264.86</v>
      </c>
      <c r="AI80" s="43">
        <f t="shared" si="8"/>
        <v>390356.64</v>
      </c>
      <c r="AJ80" s="43">
        <f t="shared" si="9"/>
        <v>23421398.400000002</v>
      </c>
      <c r="AK80" s="44">
        <f>VLOOKUP(D80,[1]apoio_Preços_MGS!$A$6:$AN$238,39,FALSE)</f>
        <v>200.00000000000003</v>
      </c>
      <c r="AL80" s="44">
        <f>IF(J80="demais municípios",VLOOKUP(D80,[1]apoio_Preços_MGS!$A$6:$AN$238,39,FALSE),0)</f>
        <v>0</v>
      </c>
      <c r="AM80" s="44">
        <f>TRUNC(ROUND(($I80)/(1-($I80)),5)*VLOOKUP(D80,[1]apoio_Preços_MGS!$A$6:$AN$238,39,FALSE)+VLOOKUP(D80,[1]apoio_Preços_MGS!$A$6:$AN$238,39,FALSE),2)</f>
        <v>210.52</v>
      </c>
      <c r="AN80" s="45">
        <f t="shared" si="32"/>
        <v>5052.4800000000005</v>
      </c>
      <c r="AO80" s="44">
        <f>VLOOKUP(D80,[1]apoio_Preços_MGS!$A$6:$AN$238,40,FALSE)</f>
        <v>548.52</v>
      </c>
      <c r="AP80" s="44">
        <f>IF(J80="demais municípios",VLOOKUP(D80,[1]apoio_Preços_MGS!$A$6:$AN$238,40,FALSE),0)</f>
        <v>0</v>
      </c>
      <c r="AQ80" s="44">
        <f>TRUNC(ROUND(($I80)/(1-($I80)),5)*VLOOKUP(D80,[1]apoio_Preços_MGS!$A$6:$AN$238,40,FALSE)+VLOOKUP(D80,[1]apoio_Preços_MGS!$A$6:$AN$238,40,FALSE),2)</f>
        <v>577.38</v>
      </c>
      <c r="AR80" s="45">
        <f t="shared" si="33"/>
        <v>13857.119999999999</v>
      </c>
      <c r="AS80" s="45">
        <f t="shared" si="34"/>
        <v>18909.599999999999</v>
      </c>
      <c r="AT80" s="45">
        <f t="shared" si="35"/>
        <v>1134576</v>
      </c>
      <c r="AU80" s="62"/>
      <c r="AV80" s="46"/>
      <c r="AW80" s="47"/>
      <c r="AX80" s="48"/>
      <c r="AY80" s="49"/>
      <c r="BA80" s="48"/>
    </row>
    <row r="81" spans="1:53" ht="19.5" customHeight="1" x14ac:dyDescent="0.25">
      <c r="A81" s="33" t="str">
        <f t="shared" si="30"/>
        <v>106461400,02</v>
      </c>
      <c r="B81" s="33" t="str">
        <f t="shared" si="31"/>
        <v>3420,02</v>
      </c>
      <c r="C81" s="34" t="str">
        <f>VLOOKUP(D81,[1]apoio_Preços_MGS!$A$6:$B$238,2,FALSE)</f>
        <v>ANALISTA ESPECIALIZADO EM SAÚDE E MEIO AMBIENTE II</v>
      </c>
      <c r="D81" s="35">
        <v>342</v>
      </c>
      <c r="E81" s="33" t="str">
        <f>VLOOKUP(D81,[1]apoio_Preços_MGS!$A$6:$F$238,6,FALSE)</f>
        <v>ANALISTA ESPECIALIZADO EM SAÚDE E MEIO AMBIENTE II - DIARISTA DIURNO - 40H</v>
      </c>
      <c r="F81" s="36">
        <f>IFERROR(VLOOKUP(D81,'[1]apoio_cód catmas'!$B$2:$C$863,2,FALSE),0)</f>
        <v>106461</v>
      </c>
      <c r="G81" s="33" t="str">
        <f>IF(H81="N/A",VLOOKUP(F81&amp;40,'[1]apoio_cód catmas'!$A$1:$G$233,4,FALSE),VLOOKUP(F81&amp;H81,'[1]apoio_cód catmas'!$A$1:$G$233,4,FALSE))</f>
        <v>ANALISTA ESPECIALIZADO EM SAUDE E MEIO AMBIENTE II- 20H, 22H, 30H, 36H, 40H OU 44H</v>
      </c>
      <c r="H81" s="36">
        <v>40</v>
      </c>
      <c r="I81" s="37">
        <v>0.02</v>
      </c>
      <c r="J81" s="38" t="s">
        <v>46</v>
      </c>
      <c r="K81" s="39">
        <v>11</v>
      </c>
      <c r="L81" s="39">
        <f t="shared" si="2"/>
        <v>660</v>
      </c>
      <c r="M81" s="40">
        <f>VLOOKUP(D81,[1]apoio_Preços_MGS!$A$6:$AN$238,18,FALSE)</f>
        <v>3644.5402500000009</v>
      </c>
      <c r="N81" s="40">
        <f>VLOOKUP(D81,[1]apoio_Preços_MGS!$A$6:$AN$238,19,FALSE)</f>
        <v>0</v>
      </c>
      <c r="O81" s="40">
        <f>VLOOKUP(D81,[1]apoio_Preços_MGS!$A$6:$AN$238,20,FALSE)</f>
        <v>0</v>
      </c>
      <c r="P81" s="40">
        <f>VLOOKUP(D81,[1]apoio_Preços_MGS!$A$6:$AN$238,21,FALSE)</f>
        <v>0</v>
      </c>
      <c r="Q81" s="40">
        <f>VLOOKUP(D81,[1]apoio_Preços_MGS!$A$6:$AN$238,22,FALSE)</f>
        <v>0</v>
      </c>
      <c r="R81" s="40">
        <f>VLOOKUP(D81,[1]apoio_Preços_MGS!$A$6:$AN$238,23,FALSE)</f>
        <v>0</v>
      </c>
      <c r="S81" s="40">
        <f>VLOOKUP(D81,[1]apoio_Preços_MGS!$A$6:$AN$238,24,FALSE)</f>
        <v>0</v>
      </c>
      <c r="T81" s="40">
        <f>VLOOKUP(D81,[1]apoio_Preços_MGS!$A$6:$AN$238,25,FALSE)</f>
        <v>0</v>
      </c>
      <c r="U81" s="40">
        <f t="shared" si="3"/>
        <v>3644.5402500000009</v>
      </c>
      <c r="V81" s="41">
        <f>VLOOKUP(D81,[1]apoio_Preços_MGS!$A$6:$AN$238,27,FALSE)</f>
        <v>0.81799999999999995</v>
      </c>
      <c r="W81" s="40">
        <f t="shared" si="4"/>
        <v>2981.2339245000007</v>
      </c>
      <c r="X81" s="40">
        <f>VLOOKUP(D81,[1]apoio_Preços_MGS!$A$6:$AN$238,29,FALSE)</f>
        <v>0</v>
      </c>
      <c r="Y81" s="40">
        <f>VLOOKUP(D81,[1]apoio_Preços_MGS!$A$6:$AN$238,30,FALSE)</f>
        <v>0</v>
      </c>
      <c r="Z81" s="40">
        <f t="shared" si="5"/>
        <v>0</v>
      </c>
      <c r="AA81" s="40">
        <f>VLOOKUP(D81,[1]apoio_Preços_MGS!$A$6:$AN$238,32,FALSE)</f>
        <v>6.9975172800000012</v>
      </c>
      <c r="AB81" s="40">
        <f>VLOOKUP(D81,[1]apoio_Preços_MGS!$A$6:$AN$238,33,FALSE)</f>
        <v>62.176623376623382</v>
      </c>
      <c r="AC81" s="41">
        <f>VLOOKUP(D81,[1]apoio_Preços_MGS!$A$6:$AN$238,34,FALSE)</f>
        <v>0</v>
      </c>
      <c r="AD81" s="40">
        <f>(U81+W81+Z81+AB81+AA81+VLOOKUP(C81,[1]apoio_Prec_Folha!$A:$S,7,FALSE))*AC81</f>
        <v>0</v>
      </c>
      <c r="AE81" s="42">
        <f>VLOOKUP(D81,[1]apoio_Preços_MGS!$A$6:$AN$238,36,FALSE)</f>
        <v>7.0000000000000007E-2</v>
      </c>
      <c r="AF81" s="40">
        <f>(U81+W81+Z81+AB81+AD81+AA81+VLOOKUP(C81,[1]apoio_Prec_Folha!$A:$S,7,FALSE))*AE81</f>
        <v>507.25698206096376</v>
      </c>
      <c r="AG81" s="40">
        <f t="shared" si="6"/>
        <v>7202.2</v>
      </c>
      <c r="AH81" s="43">
        <f t="shared" si="7"/>
        <v>8115.15</v>
      </c>
      <c r="AI81" s="43">
        <f t="shared" si="8"/>
        <v>89266.65</v>
      </c>
      <c r="AJ81" s="43">
        <f t="shared" si="9"/>
        <v>5355999</v>
      </c>
      <c r="AK81" s="44">
        <f>VLOOKUP(D81,[1]apoio_Preços_MGS!$A$6:$AN$238,39,FALSE)</f>
        <v>181.81818181818184</v>
      </c>
      <c r="AL81" s="44">
        <f>IF(J81="demais municípios",VLOOKUP(D81,[1]apoio_Preços_MGS!$A$6:$AN$238,39,FALSE),0)</f>
        <v>181.81818181818184</v>
      </c>
      <c r="AM81" s="44">
        <v>0</v>
      </c>
      <c r="AN81" s="45">
        <f t="shared" ref="AN81:AN85" si="40">AK81*K81</f>
        <v>2000.0000000000002</v>
      </c>
      <c r="AO81" s="44">
        <f>VLOOKUP(D81,[1]apoio_Preços_MGS!$A$6:$AN$238,40,FALSE)</f>
        <v>551.58000000000004</v>
      </c>
      <c r="AP81" s="44">
        <f>IF(J81="demais municípios",VLOOKUP(D81,[1]apoio_Preços_MGS!$A$6:$AN$238,40,FALSE),0)</f>
        <v>551.58000000000004</v>
      </c>
      <c r="AQ81" s="44">
        <v>0</v>
      </c>
      <c r="AR81" s="45">
        <f t="shared" ref="AR81:AR85" si="41">AO81*K81</f>
        <v>6067.38</v>
      </c>
      <c r="AS81" s="45">
        <f t="shared" si="34"/>
        <v>8067.38</v>
      </c>
      <c r="AT81" s="45">
        <f t="shared" si="35"/>
        <v>484042.8</v>
      </c>
      <c r="AU81" s="62"/>
      <c r="AV81" s="46"/>
      <c r="AW81" s="47"/>
      <c r="AX81" s="48"/>
      <c r="AY81" s="49"/>
      <c r="BA81" s="48"/>
    </row>
    <row r="82" spans="1:53" ht="19.5" customHeight="1" x14ac:dyDescent="0.25">
      <c r="A82" s="33" t="str">
        <f t="shared" si="30"/>
        <v>106461400,03</v>
      </c>
      <c r="B82" s="33" t="str">
        <f t="shared" si="31"/>
        <v>3420,03</v>
      </c>
      <c r="C82" s="34" t="str">
        <f>VLOOKUP(D82,[1]apoio_Preços_MGS!$A$6:$B$238,2,FALSE)</f>
        <v>ANALISTA ESPECIALIZADO EM SAÚDE E MEIO AMBIENTE II</v>
      </c>
      <c r="D82" s="35">
        <v>342</v>
      </c>
      <c r="E82" s="33" t="str">
        <f>VLOOKUP(D82,[1]apoio_Preços_MGS!$A$6:$F$238,6,FALSE)</f>
        <v>ANALISTA ESPECIALIZADO EM SAÚDE E MEIO AMBIENTE II - DIARISTA DIURNO - 40H</v>
      </c>
      <c r="F82" s="36">
        <f>IFERROR(VLOOKUP(D82,'[1]apoio_cód catmas'!$B$2:$C$863,2,FALSE),0)</f>
        <v>106461</v>
      </c>
      <c r="G82" s="33" t="str">
        <f>IF(H82="N/A",VLOOKUP(F82&amp;40,'[1]apoio_cód catmas'!$A$1:$G$233,4,FALSE),VLOOKUP(F82&amp;H82,'[1]apoio_cód catmas'!$A$1:$G$233,4,FALSE))</f>
        <v>ANALISTA ESPECIALIZADO EM SAUDE E MEIO AMBIENTE II- 20H, 22H, 30H, 36H, 40H OU 44H</v>
      </c>
      <c r="H82" s="36">
        <v>40</v>
      </c>
      <c r="I82" s="37">
        <v>0.03</v>
      </c>
      <c r="J82" s="38" t="s">
        <v>46</v>
      </c>
      <c r="K82" s="39">
        <v>8</v>
      </c>
      <c r="L82" s="39">
        <f t="shared" si="2"/>
        <v>480</v>
      </c>
      <c r="M82" s="40">
        <f>VLOOKUP(D82,[1]apoio_Preços_MGS!$A$6:$AN$238,18,FALSE)</f>
        <v>3644.5402500000009</v>
      </c>
      <c r="N82" s="40">
        <f>VLOOKUP(D82,[1]apoio_Preços_MGS!$A$6:$AN$238,19,FALSE)</f>
        <v>0</v>
      </c>
      <c r="O82" s="40">
        <f>VLOOKUP(D82,[1]apoio_Preços_MGS!$A$6:$AN$238,20,FALSE)</f>
        <v>0</v>
      </c>
      <c r="P82" s="40">
        <f>VLOOKUP(D82,[1]apoio_Preços_MGS!$A$6:$AN$238,21,FALSE)</f>
        <v>0</v>
      </c>
      <c r="Q82" s="40">
        <f>VLOOKUP(D82,[1]apoio_Preços_MGS!$A$6:$AN$238,22,FALSE)</f>
        <v>0</v>
      </c>
      <c r="R82" s="40">
        <f>VLOOKUP(D82,[1]apoio_Preços_MGS!$A$6:$AN$238,23,FALSE)</f>
        <v>0</v>
      </c>
      <c r="S82" s="40">
        <f>VLOOKUP(D82,[1]apoio_Preços_MGS!$A$6:$AN$238,24,FALSE)</f>
        <v>0</v>
      </c>
      <c r="T82" s="40">
        <f>VLOOKUP(D82,[1]apoio_Preços_MGS!$A$6:$AN$238,25,FALSE)</f>
        <v>0</v>
      </c>
      <c r="U82" s="40">
        <f t="shared" si="3"/>
        <v>3644.5402500000009</v>
      </c>
      <c r="V82" s="41">
        <f>VLOOKUP(D82,[1]apoio_Preços_MGS!$A$6:$AN$238,27,FALSE)</f>
        <v>0.81799999999999995</v>
      </c>
      <c r="W82" s="40">
        <f t="shared" si="4"/>
        <v>2981.2339245000007</v>
      </c>
      <c r="X82" s="40">
        <f>VLOOKUP(D82,[1]apoio_Preços_MGS!$A$6:$AN$238,29,FALSE)</f>
        <v>0</v>
      </c>
      <c r="Y82" s="40">
        <f>VLOOKUP(D82,[1]apoio_Preços_MGS!$A$6:$AN$238,30,FALSE)</f>
        <v>0</v>
      </c>
      <c r="Z82" s="40">
        <f t="shared" si="5"/>
        <v>0</v>
      </c>
      <c r="AA82" s="40">
        <f>VLOOKUP(D82,[1]apoio_Preços_MGS!$A$6:$AN$238,32,FALSE)</f>
        <v>6.9975172800000012</v>
      </c>
      <c r="AB82" s="40">
        <f>VLOOKUP(D82,[1]apoio_Preços_MGS!$A$6:$AN$238,33,FALSE)</f>
        <v>62.176623376623382</v>
      </c>
      <c r="AC82" s="41">
        <f>VLOOKUP(D82,[1]apoio_Preços_MGS!$A$6:$AN$238,34,FALSE)</f>
        <v>0</v>
      </c>
      <c r="AD82" s="40">
        <f>(U82+W82+Z82+AB82+AA82+VLOOKUP(C82,[1]apoio_Prec_Folha!$A:$S,7,FALSE))*AC82</f>
        <v>0</v>
      </c>
      <c r="AE82" s="42">
        <f>VLOOKUP(D82,[1]apoio_Preços_MGS!$A$6:$AN$238,36,FALSE)</f>
        <v>7.0000000000000007E-2</v>
      </c>
      <c r="AF82" s="40">
        <f>(U82+W82+Z82+AB82+AD82+AA82+VLOOKUP(C82,[1]apoio_Prec_Folha!$A:$S,7,FALSE))*AE82</f>
        <v>507.25698206096376</v>
      </c>
      <c r="AG82" s="40">
        <f t="shared" si="6"/>
        <v>7202.2</v>
      </c>
      <c r="AH82" s="43">
        <f t="shared" si="7"/>
        <v>8207.6200000000008</v>
      </c>
      <c r="AI82" s="43">
        <f t="shared" si="8"/>
        <v>65660.960000000006</v>
      </c>
      <c r="AJ82" s="43">
        <f t="shared" si="9"/>
        <v>3939657.6000000006</v>
      </c>
      <c r="AK82" s="44">
        <f>VLOOKUP(D82,[1]apoio_Preços_MGS!$A$6:$AN$238,39,FALSE)</f>
        <v>181.81818181818184</v>
      </c>
      <c r="AL82" s="44">
        <f>IF(J82="demais municípios",VLOOKUP(D82,[1]apoio_Preços_MGS!$A$6:$AN$238,39,FALSE),0)</f>
        <v>181.81818181818184</v>
      </c>
      <c r="AM82" s="44">
        <v>0</v>
      </c>
      <c r="AN82" s="45">
        <f t="shared" si="40"/>
        <v>1454.5454545454547</v>
      </c>
      <c r="AO82" s="44">
        <f>VLOOKUP(D82,[1]apoio_Preços_MGS!$A$6:$AN$238,40,FALSE)</f>
        <v>551.58000000000004</v>
      </c>
      <c r="AP82" s="44">
        <f>IF(J82="demais municípios",VLOOKUP(D82,[1]apoio_Preços_MGS!$A$6:$AN$238,40,FALSE),0)</f>
        <v>551.58000000000004</v>
      </c>
      <c r="AQ82" s="44">
        <v>0</v>
      </c>
      <c r="AR82" s="45">
        <f t="shared" si="41"/>
        <v>4412.6400000000003</v>
      </c>
      <c r="AS82" s="45">
        <f t="shared" si="34"/>
        <v>5867.1854545454553</v>
      </c>
      <c r="AT82" s="45">
        <f t="shared" si="35"/>
        <v>352031.12727272732</v>
      </c>
      <c r="AU82" s="62"/>
      <c r="AV82" s="46"/>
      <c r="AW82" s="47"/>
      <c r="AX82" s="48"/>
      <c r="AY82" s="49"/>
      <c r="BA82" s="48"/>
    </row>
    <row r="83" spans="1:53" ht="19.5" customHeight="1" x14ac:dyDescent="0.25">
      <c r="A83" s="33" t="str">
        <f t="shared" si="30"/>
        <v>106461400,035</v>
      </c>
      <c r="B83" s="33" t="str">
        <f t="shared" si="31"/>
        <v>3420,035</v>
      </c>
      <c r="C83" s="34" t="str">
        <f>VLOOKUP(D83,[1]apoio_Preços_MGS!$A$6:$B$238,2,FALSE)</f>
        <v>ANALISTA ESPECIALIZADO EM SAÚDE E MEIO AMBIENTE II</v>
      </c>
      <c r="D83" s="35">
        <v>342</v>
      </c>
      <c r="E83" s="33" t="str">
        <f>VLOOKUP(D83,[1]apoio_Preços_MGS!$A$6:$F$238,6,FALSE)</f>
        <v>ANALISTA ESPECIALIZADO EM SAÚDE E MEIO AMBIENTE II - DIARISTA DIURNO - 40H</v>
      </c>
      <c r="F83" s="36">
        <f>IFERROR(VLOOKUP(D83,'[1]apoio_cód catmas'!$B$2:$C$863,2,FALSE),0)</f>
        <v>106461</v>
      </c>
      <c r="G83" s="33" t="str">
        <f>IF(H83="N/A",VLOOKUP(F83&amp;40,'[1]apoio_cód catmas'!$A$1:$G$233,4,FALSE),VLOOKUP(F83&amp;H83,'[1]apoio_cód catmas'!$A$1:$G$233,4,FALSE))</f>
        <v>ANALISTA ESPECIALIZADO EM SAUDE E MEIO AMBIENTE II- 20H, 22H, 30H, 36H, 40H OU 44H</v>
      </c>
      <c r="H83" s="36">
        <v>40</v>
      </c>
      <c r="I83" s="37">
        <v>3.5000000000000003E-2</v>
      </c>
      <c r="J83" s="38" t="s">
        <v>46</v>
      </c>
      <c r="K83" s="39">
        <v>2</v>
      </c>
      <c r="L83" s="39">
        <f t="shared" si="2"/>
        <v>120</v>
      </c>
      <c r="M83" s="40">
        <f>VLOOKUP(D83,[1]apoio_Preços_MGS!$A$6:$AN$238,18,FALSE)</f>
        <v>3644.5402500000009</v>
      </c>
      <c r="N83" s="40">
        <f>VLOOKUP(D83,[1]apoio_Preços_MGS!$A$6:$AN$238,19,FALSE)</f>
        <v>0</v>
      </c>
      <c r="O83" s="40">
        <f>VLOOKUP(D83,[1]apoio_Preços_MGS!$A$6:$AN$238,20,FALSE)</f>
        <v>0</v>
      </c>
      <c r="P83" s="40">
        <f>VLOOKUP(D83,[1]apoio_Preços_MGS!$A$6:$AN$238,21,FALSE)</f>
        <v>0</v>
      </c>
      <c r="Q83" s="40">
        <f>VLOOKUP(D83,[1]apoio_Preços_MGS!$A$6:$AN$238,22,FALSE)</f>
        <v>0</v>
      </c>
      <c r="R83" s="40">
        <f>VLOOKUP(D83,[1]apoio_Preços_MGS!$A$6:$AN$238,23,FALSE)</f>
        <v>0</v>
      </c>
      <c r="S83" s="40">
        <f>VLOOKUP(D83,[1]apoio_Preços_MGS!$A$6:$AN$238,24,FALSE)</f>
        <v>0</v>
      </c>
      <c r="T83" s="40">
        <f>VLOOKUP(D83,[1]apoio_Preços_MGS!$A$6:$AN$238,25,FALSE)</f>
        <v>0</v>
      </c>
      <c r="U83" s="40">
        <f t="shared" si="3"/>
        <v>3644.5402500000009</v>
      </c>
      <c r="V83" s="41">
        <f>VLOOKUP(D83,[1]apoio_Preços_MGS!$A$6:$AN$238,27,FALSE)</f>
        <v>0.81799999999999995</v>
      </c>
      <c r="W83" s="40">
        <f t="shared" si="4"/>
        <v>2981.2339245000007</v>
      </c>
      <c r="X83" s="40">
        <f>VLOOKUP(D83,[1]apoio_Preços_MGS!$A$6:$AN$238,29,FALSE)</f>
        <v>0</v>
      </c>
      <c r="Y83" s="40">
        <f>VLOOKUP(D83,[1]apoio_Preços_MGS!$A$6:$AN$238,30,FALSE)</f>
        <v>0</v>
      </c>
      <c r="Z83" s="40">
        <f t="shared" si="5"/>
        <v>0</v>
      </c>
      <c r="AA83" s="40">
        <f>VLOOKUP(D83,[1]apoio_Preços_MGS!$A$6:$AN$238,32,FALSE)</f>
        <v>6.9975172800000012</v>
      </c>
      <c r="AB83" s="40">
        <f>VLOOKUP(D83,[1]apoio_Preços_MGS!$A$6:$AN$238,33,FALSE)</f>
        <v>62.176623376623382</v>
      </c>
      <c r="AC83" s="41">
        <f>VLOOKUP(D83,[1]apoio_Preços_MGS!$A$6:$AN$238,34,FALSE)</f>
        <v>0</v>
      </c>
      <c r="AD83" s="40">
        <f>(U83+W83+Z83+AB83+AA83+VLOOKUP(C83,[1]apoio_Prec_Folha!$A:$S,7,FALSE))*AC83</f>
        <v>0</v>
      </c>
      <c r="AE83" s="42">
        <f>VLOOKUP(D83,[1]apoio_Preços_MGS!$A$6:$AN$238,36,FALSE)</f>
        <v>7.0000000000000007E-2</v>
      </c>
      <c r="AF83" s="40">
        <f>(U83+W83+Z83+AB83+AD83+AA83+VLOOKUP(C83,[1]apoio_Prec_Folha!$A:$S,7,FALSE))*AE83</f>
        <v>507.25698206096376</v>
      </c>
      <c r="AG83" s="40">
        <f t="shared" si="6"/>
        <v>7202.2</v>
      </c>
      <c r="AH83" s="43">
        <f t="shared" si="7"/>
        <v>8254.65</v>
      </c>
      <c r="AI83" s="43">
        <f t="shared" si="8"/>
        <v>16509.3</v>
      </c>
      <c r="AJ83" s="43">
        <f t="shared" si="9"/>
        <v>990558</v>
      </c>
      <c r="AK83" s="44">
        <f>VLOOKUP(D83,[1]apoio_Preços_MGS!$A$6:$AN$238,39,FALSE)</f>
        <v>181.81818181818184</v>
      </c>
      <c r="AL83" s="44">
        <f>IF(J83="demais municípios",VLOOKUP(D83,[1]apoio_Preços_MGS!$A$6:$AN$238,39,FALSE),0)</f>
        <v>181.81818181818184</v>
      </c>
      <c r="AM83" s="44">
        <v>0</v>
      </c>
      <c r="AN83" s="45">
        <f t="shared" si="40"/>
        <v>363.63636363636368</v>
      </c>
      <c r="AO83" s="44">
        <f>VLOOKUP(D83,[1]apoio_Preços_MGS!$A$6:$AN$238,40,FALSE)</f>
        <v>551.58000000000004</v>
      </c>
      <c r="AP83" s="44">
        <f>IF(J83="demais municípios",VLOOKUP(D83,[1]apoio_Preços_MGS!$A$6:$AN$238,40,FALSE),0)</f>
        <v>551.58000000000004</v>
      </c>
      <c r="AQ83" s="44">
        <v>0</v>
      </c>
      <c r="AR83" s="45">
        <f t="shared" si="41"/>
        <v>1103.1600000000001</v>
      </c>
      <c r="AS83" s="45">
        <f t="shared" si="34"/>
        <v>1466.7963636363638</v>
      </c>
      <c r="AT83" s="45">
        <f t="shared" si="35"/>
        <v>88007.781818181829</v>
      </c>
      <c r="AU83" s="62"/>
      <c r="AV83" s="46"/>
      <c r="AW83" s="47"/>
      <c r="AX83" s="48"/>
      <c r="AY83" s="49"/>
      <c r="BA83" s="48"/>
    </row>
    <row r="84" spans="1:53" ht="19.5" customHeight="1" x14ac:dyDescent="0.25">
      <c r="A84" s="33" t="str">
        <f t="shared" si="30"/>
        <v>106461400,04</v>
      </c>
      <c r="B84" s="33" t="str">
        <f t="shared" si="31"/>
        <v>3420,04</v>
      </c>
      <c r="C84" s="34" t="str">
        <f>VLOOKUP(D84,[1]apoio_Preços_MGS!$A$6:$B$238,2,FALSE)</f>
        <v>ANALISTA ESPECIALIZADO EM SAÚDE E MEIO AMBIENTE II</v>
      </c>
      <c r="D84" s="35">
        <v>342</v>
      </c>
      <c r="E84" s="33" t="str">
        <f>VLOOKUP(D84,[1]apoio_Preços_MGS!$A$6:$F$238,6,FALSE)</f>
        <v>ANALISTA ESPECIALIZADO EM SAÚDE E MEIO AMBIENTE II - DIARISTA DIURNO - 40H</v>
      </c>
      <c r="F84" s="36">
        <f>IFERROR(VLOOKUP(D84,'[1]apoio_cód catmas'!$B$2:$C$863,2,FALSE),0)</f>
        <v>106461</v>
      </c>
      <c r="G84" s="33" t="str">
        <f>IF(H84="N/A",VLOOKUP(F84&amp;40,'[1]apoio_cód catmas'!$A$1:$G$233,4,FALSE),VLOOKUP(F84&amp;H84,'[1]apoio_cód catmas'!$A$1:$G$233,4,FALSE))</f>
        <v>ANALISTA ESPECIALIZADO EM SAUDE E MEIO AMBIENTE II- 20H, 22H, 30H, 36H, 40H OU 44H</v>
      </c>
      <c r="H84" s="36">
        <v>40</v>
      </c>
      <c r="I84" s="37">
        <v>0.04</v>
      </c>
      <c r="J84" s="38" t="s">
        <v>46</v>
      </c>
      <c r="K84" s="39">
        <v>2</v>
      </c>
      <c r="L84" s="39">
        <f t="shared" si="2"/>
        <v>120</v>
      </c>
      <c r="M84" s="40">
        <f>VLOOKUP(D84,[1]apoio_Preços_MGS!$A$6:$AN$238,18,FALSE)</f>
        <v>3644.5402500000009</v>
      </c>
      <c r="N84" s="40">
        <f>VLOOKUP(D84,[1]apoio_Preços_MGS!$A$6:$AN$238,19,FALSE)</f>
        <v>0</v>
      </c>
      <c r="O84" s="40">
        <f>VLOOKUP(D84,[1]apoio_Preços_MGS!$A$6:$AN$238,20,FALSE)</f>
        <v>0</v>
      </c>
      <c r="P84" s="40">
        <f>VLOOKUP(D84,[1]apoio_Preços_MGS!$A$6:$AN$238,21,FALSE)</f>
        <v>0</v>
      </c>
      <c r="Q84" s="40">
        <f>VLOOKUP(D84,[1]apoio_Preços_MGS!$A$6:$AN$238,22,FALSE)</f>
        <v>0</v>
      </c>
      <c r="R84" s="40">
        <f>VLOOKUP(D84,[1]apoio_Preços_MGS!$A$6:$AN$238,23,FALSE)</f>
        <v>0</v>
      </c>
      <c r="S84" s="40">
        <f>VLOOKUP(D84,[1]apoio_Preços_MGS!$A$6:$AN$238,24,FALSE)</f>
        <v>0</v>
      </c>
      <c r="T84" s="40">
        <f>VLOOKUP(D84,[1]apoio_Preços_MGS!$A$6:$AN$238,25,FALSE)</f>
        <v>0</v>
      </c>
      <c r="U84" s="40">
        <f t="shared" si="3"/>
        <v>3644.5402500000009</v>
      </c>
      <c r="V84" s="41">
        <f>VLOOKUP(D84,[1]apoio_Preços_MGS!$A$6:$AN$238,27,FALSE)</f>
        <v>0.81799999999999995</v>
      </c>
      <c r="W84" s="40">
        <f t="shared" si="4"/>
        <v>2981.2339245000007</v>
      </c>
      <c r="X84" s="40">
        <f>VLOOKUP(D84,[1]apoio_Preços_MGS!$A$6:$AN$238,29,FALSE)</f>
        <v>0</v>
      </c>
      <c r="Y84" s="40">
        <f>VLOOKUP(D84,[1]apoio_Preços_MGS!$A$6:$AN$238,30,FALSE)</f>
        <v>0</v>
      </c>
      <c r="Z84" s="40">
        <f t="shared" si="5"/>
        <v>0</v>
      </c>
      <c r="AA84" s="40">
        <f>VLOOKUP(D84,[1]apoio_Preços_MGS!$A$6:$AN$238,32,FALSE)</f>
        <v>6.9975172800000012</v>
      </c>
      <c r="AB84" s="40">
        <f>VLOOKUP(D84,[1]apoio_Preços_MGS!$A$6:$AN$238,33,FALSE)</f>
        <v>62.176623376623382</v>
      </c>
      <c r="AC84" s="41">
        <f>VLOOKUP(D84,[1]apoio_Preços_MGS!$A$6:$AN$238,34,FALSE)</f>
        <v>0</v>
      </c>
      <c r="AD84" s="40">
        <f>(U84+W84+Z84+AB84+AA84+VLOOKUP(C84,[1]apoio_Prec_Folha!$A:$S,7,FALSE))*AC84</f>
        <v>0</v>
      </c>
      <c r="AE84" s="42">
        <f>VLOOKUP(D84,[1]apoio_Preços_MGS!$A$6:$AN$238,36,FALSE)</f>
        <v>7.0000000000000007E-2</v>
      </c>
      <c r="AF84" s="40">
        <f>(U84+W84+Z84+AB84+AD84+AA84+VLOOKUP(C84,[1]apoio_Prec_Folha!$A:$S,7,FALSE))*AE84</f>
        <v>507.25698206096376</v>
      </c>
      <c r="AG84" s="40">
        <f t="shared" si="6"/>
        <v>7202.2</v>
      </c>
      <c r="AH84" s="43">
        <f t="shared" si="7"/>
        <v>8302.26</v>
      </c>
      <c r="AI84" s="43">
        <f t="shared" si="8"/>
        <v>16604.52</v>
      </c>
      <c r="AJ84" s="43">
        <f t="shared" si="9"/>
        <v>996271.20000000007</v>
      </c>
      <c r="AK84" s="44">
        <f>VLOOKUP(D84,[1]apoio_Preços_MGS!$A$6:$AN$238,39,FALSE)</f>
        <v>181.81818181818184</v>
      </c>
      <c r="AL84" s="44">
        <f>IF(J84="demais municípios",VLOOKUP(D84,[1]apoio_Preços_MGS!$A$6:$AN$238,39,FALSE),0)</f>
        <v>181.81818181818184</v>
      </c>
      <c r="AM84" s="44">
        <v>0</v>
      </c>
      <c r="AN84" s="45">
        <f t="shared" si="40"/>
        <v>363.63636363636368</v>
      </c>
      <c r="AO84" s="44">
        <f>VLOOKUP(D84,[1]apoio_Preços_MGS!$A$6:$AN$238,40,FALSE)</f>
        <v>551.58000000000004</v>
      </c>
      <c r="AP84" s="44">
        <f>IF(J84="demais municípios",VLOOKUP(D84,[1]apoio_Preços_MGS!$A$6:$AN$238,40,FALSE),0)</f>
        <v>551.58000000000004</v>
      </c>
      <c r="AQ84" s="44">
        <v>0</v>
      </c>
      <c r="AR84" s="45">
        <f t="shared" si="41"/>
        <v>1103.1600000000001</v>
      </c>
      <c r="AS84" s="45">
        <f t="shared" si="34"/>
        <v>1466.7963636363638</v>
      </c>
      <c r="AT84" s="45">
        <f t="shared" si="35"/>
        <v>88007.781818181829</v>
      </c>
      <c r="AU84" s="62"/>
      <c r="AV84" s="46"/>
      <c r="AW84" s="47"/>
      <c r="AX84" s="48"/>
      <c r="AY84" s="49"/>
      <c r="BA84" s="48"/>
    </row>
    <row r="85" spans="1:53" ht="19.5" customHeight="1" x14ac:dyDescent="0.25">
      <c r="A85" s="33" t="str">
        <f t="shared" si="30"/>
        <v>106461400,05</v>
      </c>
      <c r="B85" s="33" t="str">
        <f t="shared" si="31"/>
        <v>3420,05</v>
      </c>
      <c r="C85" s="34" t="str">
        <f>VLOOKUP(D85,[1]apoio_Preços_MGS!$A$6:$B$238,2,FALSE)</f>
        <v>ANALISTA ESPECIALIZADO EM SAÚDE E MEIO AMBIENTE II</v>
      </c>
      <c r="D85" s="35">
        <v>342</v>
      </c>
      <c r="E85" s="33" t="str">
        <f>VLOOKUP(D85,[1]apoio_Preços_MGS!$A$6:$F$238,6,FALSE)</f>
        <v>ANALISTA ESPECIALIZADO EM SAÚDE E MEIO AMBIENTE II - DIARISTA DIURNO - 40H</v>
      </c>
      <c r="F85" s="36">
        <f>IFERROR(VLOOKUP(D85,'[1]apoio_cód catmas'!$B$2:$C$863,2,FALSE),0)</f>
        <v>106461</v>
      </c>
      <c r="G85" s="33" t="str">
        <f>IF(H85="N/A",VLOOKUP(F85&amp;40,'[1]apoio_cód catmas'!$A$1:$G$233,4,FALSE),VLOOKUP(F85&amp;H85,'[1]apoio_cód catmas'!$A$1:$G$233,4,FALSE))</f>
        <v>ANALISTA ESPECIALIZADO EM SAUDE E MEIO AMBIENTE II- 20H, 22H, 30H, 36H, 40H OU 44H</v>
      </c>
      <c r="H85" s="36">
        <v>40</v>
      </c>
      <c r="I85" s="37">
        <v>0.05</v>
      </c>
      <c r="J85" s="38" t="s">
        <v>46</v>
      </c>
      <c r="K85" s="39">
        <f>14-K86</f>
        <v>5</v>
      </c>
      <c r="L85" s="39">
        <f t="shared" si="2"/>
        <v>300</v>
      </c>
      <c r="M85" s="40">
        <f>VLOOKUP(D85,[1]apoio_Preços_MGS!$A$6:$AN$238,18,FALSE)</f>
        <v>3644.5402500000009</v>
      </c>
      <c r="N85" s="40">
        <f>VLOOKUP(D85,[1]apoio_Preços_MGS!$A$6:$AN$238,19,FALSE)</f>
        <v>0</v>
      </c>
      <c r="O85" s="40">
        <f>VLOOKUP(D85,[1]apoio_Preços_MGS!$A$6:$AN$238,20,FALSE)</f>
        <v>0</v>
      </c>
      <c r="P85" s="40">
        <f>VLOOKUP(D85,[1]apoio_Preços_MGS!$A$6:$AN$238,21,FALSE)</f>
        <v>0</v>
      </c>
      <c r="Q85" s="40">
        <f>VLOOKUP(D85,[1]apoio_Preços_MGS!$A$6:$AN$238,22,FALSE)</f>
        <v>0</v>
      </c>
      <c r="R85" s="40">
        <f>VLOOKUP(D85,[1]apoio_Preços_MGS!$A$6:$AN$238,23,FALSE)</f>
        <v>0</v>
      </c>
      <c r="S85" s="40">
        <f>VLOOKUP(D85,[1]apoio_Preços_MGS!$A$6:$AN$238,24,FALSE)</f>
        <v>0</v>
      </c>
      <c r="T85" s="40">
        <f>VLOOKUP(D85,[1]apoio_Preços_MGS!$A$6:$AN$238,25,FALSE)</f>
        <v>0</v>
      </c>
      <c r="U85" s="40">
        <f t="shared" si="3"/>
        <v>3644.5402500000009</v>
      </c>
      <c r="V85" s="41">
        <v>0.81799999999999995</v>
      </c>
      <c r="W85" s="40">
        <f t="shared" si="4"/>
        <v>2981.2339245000007</v>
      </c>
      <c r="X85" s="40">
        <f>VLOOKUP(D85,[1]apoio_Preços_MGS!$A$6:$AN$238,29,FALSE)</f>
        <v>0</v>
      </c>
      <c r="Y85" s="40">
        <f>VLOOKUP(D85,[1]apoio_Preços_MGS!$A$6:$AN$238,30,FALSE)</f>
        <v>0</v>
      </c>
      <c r="Z85" s="40">
        <f t="shared" si="5"/>
        <v>0</v>
      </c>
      <c r="AA85" s="40">
        <f>VLOOKUP(D85,[1]apoio_Preços_MGS!$A$6:$AN$238,32,FALSE)</f>
        <v>6.9975172800000012</v>
      </c>
      <c r="AB85" s="40">
        <f>VLOOKUP(D85,[1]apoio_Preços_MGS!$A$6:$AN$238,33,FALSE)</f>
        <v>62.176623376623382</v>
      </c>
      <c r="AC85" s="41">
        <f>VLOOKUP(D85,[1]apoio_Preços_MGS!$A$6:$AN$238,34,FALSE)</f>
        <v>0</v>
      </c>
      <c r="AD85" s="40">
        <f>(U85+W85+Z85+AB85+AA85+VLOOKUP(C85,[1]apoio_Prec_Folha!$A:$S,7,FALSE))*AC85</f>
        <v>0</v>
      </c>
      <c r="AE85" s="42">
        <f>VLOOKUP(D85,[1]apoio_Preços_MGS!$A$6:$AN$238,36,FALSE)</f>
        <v>7.0000000000000007E-2</v>
      </c>
      <c r="AF85" s="40">
        <f>(U85+W85+Z85+AB85+AD85+AA85+VLOOKUP(C85,[1]apoio_Prec_Folha!$A:$S,7,FALSE))*AE85</f>
        <v>507.25698206096376</v>
      </c>
      <c r="AG85" s="40">
        <f t="shared" si="6"/>
        <v>7202.2</v>
      </c>
      <c r="AH85" s="43">
        <f t="shared" si="7"/>
        <v>8399.06</v>
      </c>
      <c r="AI85" s="43">
        <f t="shared" si="8"/>
        <v>41995.299999999996</v>
      </c>
      <c r="AJ85" s="43">
        <f t="shared" si="9"/>
        <v>2519718</v>
      </c>
      <c r="AK85" s="44">
        <f>VLOOKUP(D85,[1]apoio_Preços_MGS!$A$6:$AN$238,39,FALSE)</f>
        <v>181.81818181818184</v>
      </c>
      <c r="AL85" s="44">
        <f>IF(J85="demais municípios",VLOOKUP(D85,[1]apoio_Preços_MGS!$A$6:$AN$238,39,FALSE),0)</f>
        <v>181.81818181818184</v>
      </c>
      <c r="AM85" s="44">
        <v>0</v>
      </c>
      <c r="AN85" s="45">
        <f t="shared" si="40"/>
        <v>909.09090909090924</v>
      </c>
      <c r="AO85" s="44">
        <f>VLOOKUP(D85,[1]apoio_Preços_MGS!$A$6:$AN$238,40,FALSE)</f>
        <v>551.58000000000004</v>
      </c>
      <c r="AP85" s="44">
        <f>IF(J85="demais municípios",VLOOKUP(D85,[1]apoio_Preços_MGS!$A$6:$AN$238,40,FALSE),0)</f>
        <v>551.58000000000004</v>
      </c>
      <c r="AQ85" s="44">
        <v>0</v>
      </c>
      <c r="AR85" s="45">
        <f t="shared" si="41"/>
        <v>2757.9</v>
      </c>
      <c r="AS85" s="45">
        <f t="shared" si="34"/>
        <v>3666.9909090909096</v>
      </c>
      <c r="AT85" s="45">
        <f t="shared" si="35"/>
        <v>220019.45454545459</v>
      </c>
      <c r="AU85" s="62"/>
      <c r="AV85" s="46"/>
      <c r="AW85" s="47"/>
      <c r="AX85" s="48"/>
      <c r="AY85" s="49"/>
      <c r="BA85" s="48"/>
    </row>
    <row r="86" spans="1:53" ht="19.5" customHeight="1" x14ac:dyDescent="0.25">
      <c r="A86" s="33" t="str">
        <f t="shared" si="30"/>
        <v>106461400,05</v>
      </c>
      <c r="B86" s="33" t="str">
        <f t="shared" si="31"/>
        <v>3420,05</v>
      </c>
      <c r="C86" s="34" t="str">
        <f>VLOOKUP(D86,[1]apoio_Preços_MGS!$A$6:$B$238,2,FALSE)</f>
        <v>ANALISTA ESPECIALIZADO EM SAÚDE E MEIO AMBIENTE II</v>
      </c>
      <c r="D86" s="35">
        <v>342</v>
      </c>
      <c r="E86" s="33" t="str">
        <f>VLOOKUP(D86,[1]apoio_Preços_MGS!$A$6:$F$238,6,FALSE)</f>
        <v>ANALISTA ESPECIALIZADO EM SAÚDE E MEIO AMBIENTE II - DIARISTA DIURNO - 40H</v>
      </c>
      <c r="F86" s="36">
        <f>IFERROR(VLOOKUP(D86,'[1]apoio_cód catmas'!$B$2:$C$863,2,FALSE),0)</f>
        <v>106461</v>
      </c>
      <c r="G86" s="33" t="str">
        <f>IF(H86="N/A",VLOOKUP(F86&amp;40,'[1]apoio_cód catmas'!$A$1:$G$233,4,FALSE),VLOOKUP(F86&amp;H86,'[1]apoio_cód catmas'!$A$1:$G$233,4,FALSE))</f>
        <v>ANALISTA ESPECIALIZADO EM SAUDE E MEIO AMBIENTE II- 20H, 22H, 30H, 36H, 40H OU 44H</v>
      </c>
      <c r="H86" s="36">
        <v>40</v>
      </c>
      <c r="I86" s="37">
        <v>0.05</v>
      </c>
      <c r="J86" s="38" t="s">
        <v>47</v>
      </c>
      <c r="K86" s="39">
        <v>9</v>
      </c>
      <c r="L86" s="39">
        <f t="shared" si="2"/>
        <v>540</v>
      </c>
      <c r="M86" s="40">
        <f>VLOOKUP(D86,[1]apoio_Preços_MGS!$A$6:$AN$238,18,FALSE)</f>
        <v>3644.5402500000009</v>
      </c>
      <c r="N86" s="40">
        <f>VLOOKUP(D86,[1]apoio_Preços_MGS!$A$6:$AN$238,19,FALSE)</f>
        <v>0</v>
      </c>
      <c r="O86" s="40">
        <f>VLOOKUP(D86,[1]apoio_Preços_MGS!$A$6:$AN$238,20,FALSE)</f>
        <v>0</v>
      </c>
      <c r="P86" s="40">
        <f>VLOOKUP(D86,[1]apoio_Preços_MGS!$A$6:$AN$238,21,FALSE)</f>
        <v>0</v>
      </c>
      <c r="Q86" s="40">
        <f>VLOOKUP(D86,[1]apoio_Preços_MGS!$A$6:$AN$238,22,FALSE)</f>
        <v>0</v>
      </c>
      <c r="R86" s="40">
        <f>VLOOKUP(D86,[1]apoio_Preços_MGS!$A$6:$AN$238,23,FALSE)</f>
        <v>0</v>
      </c>
      <c r="S86" s="40">
        <f>VLOOKUP(D86,[1]apoio_Preços_MGS!$A$6:$AN$238,24,FALSE)</f>
        <v>0</v>
      </c>
      <c r="T86" s="40">
        <f>VLOOKUP(D86,[1]apoio_Preços_MGS!$A$6:$AN$238,25,FALSE)</f>
        <v>0</v>
      </c>
      <c r="U86" s="40">
        <f t="shared" si="3"/>
        <v>3644.5402500000009</v>
      </c>
      <c r="V86" s="41">
        <v>0.81799999999999995</v>
      </c>
      <c r="W86" s="40">
        <f t="shared" si="4"/>
        <v>2981.2339245000007</v>
      </c>
      <c r="X86" s="40">
        <f>VLOOKUP(D86,[1]apoio_Preços_MGS!$A$6:$AN$238,29,FALSE)</f>
        <v>0</v>
      </c>
      <c r="Y86" s="40">
        <f>VLOOKUP(D86,[1]apoio_Preços_MGS!$A$6:$AN$238,30,FALSE)</f>
        <v>0</v>
      </c>
      <c r="Z86" s="40">
        <f t="shared" si="5"/>
        <v>0</v>
      </c>
      <c r="AA86" s="40">
        <f>VLOOKUP(D86,[1]apoio_Preços_MGS!$A$6:$AN$238,32,FALSE)</f>
        <v>6.9975172800000012</v>
      </c>
      <c r="AB86" s="40">
        <f>VLOOKUP(D86,[1]apoio_Preços_MGS!$A$6:$AN$238,33,FALSE)</f>
        <v>62.176623376623382</v>
      </c>
      <c r="AC86" s="41">
        <f>VLOOKUP(D86,[1]apoio_Preços_MGS!$A$6:$AN$238,34,FALSE)</f>
        <v>0</v>
      </c>
      <c r="AD86" s="40">
        <f>(U86+W86+Z86+AB86+AA86+VLOOKUP(C86,[1]apoio_Prec_Folha!$A:$S,7,FALSE))*AC86</f>
        <v>0</v>
      </c>
      <c r="AE86" s="42">
        <f>VLOOKUP(D86,[1]apoio_Preços_MGS!$A$6:$AN$238,36,FALSE)</f>
        <v>7.0000000000000007E-2</v>
      </c>
      <c r="AF86" s="40">
        <f>(U86+W86+Z86+AB86+AD86+AA86+VLOOKUP(C86,[1]apoio_Prec_Folha!$A:$S,7,FALSE))*AE86</f>
        <v>507.25698206096376</v>
      </c>
      <c r="AG86" s="40">
        <f t="shared" si="6"/>
        <v>7202.2</v>
      </c>
      <c r="AH86" s="43">
        <f t="shared" si="7"/>
        <v>8399.06</v>
      </c>
      <c r="AI86" s="43">
        <f t="shared" si="8"/>
        <v>75591.539999999994</v>
      </c>
      <c r="AJ86" s="43">
        <f t="shared" si="9"/>
        <v>4535492.3999999994</v>
      </c>
      <c r="AK86" s="44">
        <f>VLOOKUP(D86,[1]apoio_Preços_MGS!$A$6:$AN$238,39,FALSE)</f>
        <v>181.81818181818184</v>
      </c>
      <c r="AL86" s="44">
        <f>IF(J86="demais municípios",VLOOKUP(D86,[1]apoio_Preços_MGS!$A$6:$AN$238,39,FALSE),0)</f>
        <v>0</v>
      </c>
      <c r="AM86" s="44">
        <f>TRUNC(ROUND(($I86)/(1-($I86)),5)*VLOOKUP(D86,[1]apoio_Preços_MGS!$A$6:$AN$238,39,FALSE)+VLOOKUP(D86,[1]apoio_Preços_MGS!$A$6:$AN$238,39,FALSE),2)</f>
        <v>191.38</v>
      </c>
      <c r="AN86" s="45">
        <f t="shared" si="32"/>
        <v>1722.42</v>
      </c>
      <c r="AO86" s="44">
        <f>VLOOKUP(D86,[1]apoio_Preços_MGS!$A$6:$AN$238,40,FALSE)</f>
        <v>551.58000000000004</v>
      </c>
      <c r="AP86" s="44">
        <f>IF(J86="demais municípios",VLOOKUP(D86,[1]apoio_Preços_MGS!$A$6:$AN$238,40,FALSE),0)</f>
        <v>0</v>
      </c>
      <c r="AQ86" s="44">
        <f>TRUNC(ROUND(($I86)/(1-($I86)),5)*VLOOKUP(D86,[1]apoio_Preços_MGS!$A$6:$AN$238,40,FALSE)+VLOOKUP(D86,[1]apoio_Preços_MGS!$A$6:$AN$238,40,FALSE),2)</f>
        <v>580.6</v>
      </c>
      <c r="AR86" s="45">
        <f t="shared" si="33"/>
        <v>5225.4000000000005</v>
      </c>
      <c r="AS86" s="45">
        <f t="shared" si="34"/>
        <v>6947.8200000000006</v>
      </c>
      <c r="AT86" s="45">
        <f t="shared" si="35"/>
        <v>416869.2</v>
      </c>
      <c r="AU86" s="62"/>
      <c r="AV86" s="46"/>
      <c r="AW86" s="47"/>
      <c r="AX86" s="48"/>
      <c r="AY86" s="49"/>
      <c r="BA86" s="48"/>
    </row>
    <row r="87" spans="1:53" ht="19.5" customHeight="1" x14ac:dyDescent="0.25">
      <c r="A87" s="33" t="str">
        <f t="shared" si="30"/>
        <v>149225400,038</v>
      </c>
      <c r="B87" s="33" t="str">
        <f t="shared" si="31"/>
        <v>18950,038</v>
      </c>
      <c r="C87" s="34" t="str">
        <f>VLOOKUP(D87,[1]apoio_Preços_MGS!$A$6:$B$238,2,FALSE)</f>
        <v>ANALISTA ESPECIALIZADO EM SAÚDE E MEIO AMBIENTE III</v>
      </c>
      <c r="D87" s="35">
        <v>1895</v>
      </c>
      <c r="E87" s="33" t="str">
        <f>VLOOKUP(D87,[1]apoio_Preços_MGS!$A$6:$F$238,6,FALSE)</f>
        <v>ANALISTA ESPECIALIZADO EM SAÚDE E MEIO AMBIENTE III - DIARISTA DIURNO - 40H</v>
      </c>
      <c r="F87" s="36">
        <f>IFERROR(VLOOKUP(D87,'[1]apoio_cód catmas'!$B$2:$C$863,2,FALSE),0)</f>
        <v>149225</v>
      </c>
      <c r="G87" s="33" t="str">
        <f>IF(H87="N/A",VLOOKUP(F87&amp;40,'[1]apoio_cód catmas'!$A$1:$G$233,4,FALSE),VLOOKUP(F87&amp;H87,'[1]apoio_cód catmas'!$A$1:$G$233,4,FALSE))</f>
        <v>ANALISTA ESPECIALIZADO EM SAUDE E MEIO AMBIENTE III - 20H, 22H, 30H, 36H, 40H OU 44H</v>
      </c>
      <c r="H87" s="36">
        <v>40</v>
      </c>
      <c r="I87" s="37">
        <v>3.7999999999999999E-2</v>
      </c>
      <c r="J87" s="38" t="s">
        <v>46</v>
      </c>
      <c r="K87" s="39">
        <v>2</v>
      </c>
      <c r="L87" s="39">
        <f t="shared" si="2"/>
        <v>120</v>
      </c>
      <c r="M87" s="40">
        <f>VLOOKUP(D87,[1]apoio_Preços_MGS!$A$6:$AN$238,18,FALSE)</f>
        <v>12851.646500000001</v>
      </c>
      <c r="N87" s="40">
        <f>VLOOKUP(D87,[1]apoio_Preços_MGS!$A$6:$AN$238,19,FALSE)</f>
        <v>0</v>
      </c>
      <c r="O87" s="40">
        <f>VLOOKUP(D87,[1]apoio_Preços_MGS!$A$6:$AN$238,20,FALSE)</f>
        <v>0</v>
      </c>
      <c r="P87" s="40">
        <f>VLOOKUP(D87,[1]apoio_Preços_MGS!$A$6:$AN$238,21,FALSE)</f>
        <v>0</v>
      </c>
      <c r="Q87" s="40">
        <f>VLOOKUP(D87,[1]apoio_Preços_MGS!$A$6:$AN$238,22,FALSE)</f>
        <v>0</v>
      </c>
      <c r="R87" s="40">
        <f>VLOOKUP(D87,[1]apoio_Preços_MGS!$A$6:$AN$238,23,FALSE)</f>
        <v>0</v>
      </c>
      <c r="S87" s="40">
        <f>VLOOKUP(D87,[1]apoio_Preços_MGS!$A$6:$AN$238,24,FALSE)</f>
        <v>0</v>
      </c>
      <c r="T87" s="40">
        <f>VLOOKUP(D87,[1]apoio_Preços_MGS!$A$6:$AN$238,25,FALSE)</f>
        <v>0</v>
      </c>
      <c r="U87" s="40">
        <f>SUM(M87:T87)</f>
        <v>12851.646500000001</v>
      </c>
      <c r="V87" s="41">
        <f>VLOOKUP(D87,[1]apoio_Preços_MGS!$A$6:$AN$238,27,FALSE)</f>
        <v>0.81799999999999995</v>
      </c>
      <c r="W87" s="40">
        <f>U87*V87</f>
        <v>10512.646837</v>
      </c>
      <c r="X87" s="40">
        <f>VLOOKUP(D87,[1]apoio_Preços_MGS!$A$6:$AN$238,29,FALSE)</f>
        <v>0</v>
      </c>
      <c r="Y87" s="40">
        <f>VLOOKUP(D87,[1]apoio_Preços_MGS!$A$6:$AN$238,30,FALSE)</f>
        <v>80.160909090909087</v>
      </c>
      <c r="Z87" s="40">
        <f>Y87+X87</f>
        <v>80.160909090909087</v>
      </c>
      <c r="AA87" s="40">
        <f>VLOOKUP(D87,[1]apoio_Preços_MGS!$A$6:$AN$238,32,FALSE)</f>
        <v>9.6</v>
      </c>
      <c r="AB87" s="40">
        <f>VLOOKUP(D87,[1]apoio_Preços_MGS!$A$6:$AN$238,33,FALSE)</f>
        <v>0</v>
      </c>
      <c r="AC87" s="41">
        <f>VLOOKUP(D87,[1]apoio_Preços_MGS!$A$6:$AN$238,34,FALSE)</f>
        <v>0</v>
      </c>
      <c r="AD87" s="40">
        <f>(U87+W87+Z87+AB87+AA87+VLOOKUP(C87,[1]apoio_Prec_Folha!$A:$S,7,FALSE))*AC87</f>
        <v>0</v>
      </c>
      <c r="AE87" s="42">
        <f>VLOOKUP(D87,[1]apoio_Preços_MGS!$A$6:$AN$238,36,FALSE)</f>
        <v>7.0000000000000007E-2</v>
      </c>
      <c r="AF87" s="40">
        <f>(U87+W87+Z87+AB87+AD87+AA87+VLOOKUP(C87,[1]apoio_Prec_Folha!$A:$S,7,FALSE))*AE87</f>
        <v>1680.3943972263639</v>
      </c>
      <c r="AG87" s="40">
        <f>TRUNC(U87+W87+Z87+AB87+AA87+AD87+AF87,2)</f>
        <v>25134.44</v>
      </c>
      <c r="AH87" s="43">
        <f>TRUNC($AG87*ROUND((7.6%+1.65%+$I87)/(1-(7.6%+1.65%+$I87)),5)+$AG87,2)</f>
        <v>28906.86</v>
      </c>
      <c r="AI87" s="43">
        <f>AH87*K87</f>
        <v>57813.72</v>
      </c>
      <c r="AJ87" s="43">
        <f>AH87*L87</f>
        <v>3468823.2</v>
      </c>
      <c r="AK87" s="44">
        <f>VLOOKUP(D87,[1]apoio_Preços_MGS!$A$6:$AN$238,39,FALSE)</f>
        <v>181.81818181818184</v>
      </c>
      <c r="AL87" s="44">
        <f>IF(J87="demais municípios",VLOOKUP(D87,[1]apoio_Preços_MGS!$A$6:$AN$238,39,FALSE),0)</f>
        <v>181.81818181818184</v>
      </c>
      <c r="AM87" s="44">
        <v>0</v>
      </c>
      <c r="AN87" s="45">
        <f>AK87*K87</f>
        <v>363.63636363636368</v>
      </c>
      <c r="AO87" s="44">
        <f>VLOOKUP(D87,[1]apoio_Preços_MGS!$A$6:$AN$238,40,FALSE)</f>
        <v>551.58000000000004</v>
      </c>
      <c r="AP87" s="44">
        <f>IF(J87="demais municípios",VLOOKUP(D87,[1]apoio_Preços_MGS!$A$6:$AN$238,40,FALSE),0)</f>
        <v>551.58000000000004</v>
      </c>
      <c r="AQ87" s="44">
        <v>0</v>
      </c>
      <c r="AR87" s="45">
        <f>AO87*K87</f>
        <v>1103.1600000000001</v>
      </c>
      <c r="AS87" s="45">
        <f t="shared" si="34"/>
        <v>1466.7963636363638</v>
      </c>
      <c r="AT87" s="45">
        <f t="shared" si="35"/>
        <v>88007.781818181829</v>
      </c>
      <c r="AU87" s="62"/>
      <c r="AV87" s="46"/>
      <c r="AW87" s="47"/>
      <c r="AX87" s="48"/>
      <c r="AY87" s="49"/>
      <c r="BA87" s="48"/>
    </row>
    <row r="88" spans="1:53" ht="19.5" customHeight="1" x14ac:dyDescent="0.25">
      <c r="A88" s="33" t="str">
        <f t="shared" si="30"/>
        <v>156833240,05</v>
      </c>
      <c r="B88" s="33" t="str">
        <f t="shared" si="31"/>
        <v>20130,05</v>
      </c>
      <c r="C88" s="34" t="str">
        <f>VLOOKUP(D88,[1]apoio_Preços_MGS!$A$6:$B$238,2,FALSE)</f>
        <v>ANALISTA ESPECIALIZADO EM SAÚDE E MEIO AMBIENTE IV</v>
      </c>
      <c r="D88" s="35">
        <v>2013</v>
      </c>
      <c r="E88" s="33" t="str">
        <f>VLOOKUP(D88,[1]apoio_Preços_MGS!$A$6:$F$238,6,FALSE)</f>
        <v>ANALISTA ESPECIALIZADO EM SAÚDE E MEIO AMBIENTE IV - DIARISTA DIURNO - 24H</v>
      </c>
      <c r="F88" s="36">
        <f>IFERROR(VLOOKUP(D88,'[1]apoio_cód catmas'!$B$2:$C$863,2,FALSE),0)</f>
        <v>156833</v>
      </c>
      <c r="G88" s="33" t="str">
        <f>IF(H88="N/A",VLOOKUP(F88&amp;40,'[1]apoio_cód catmas'!$A$1:$G$233,4,FALSE),VLOOKUP(F88&amp;H88,'[1]apoio_cód catmas'!$A$1:$G$233,4,FALSE))</f>
        <v>ANALISTA ESPECIALIZADO EM SAUDE E MEIO AMBIENTE IV - 24H</v>
      </c>
      <c r="H88" s="36">
        <v>24</v>
      </c>
      <c r="I88" s="37">
        <v>0.05</v>
      </c>
      <c r="J88" s="38" t="s">
        <v>47</v>
      </c>
      <c r="K88" s="39">
        <v>1</v>
      </c>
      <c r="L88" s="39">
        <f>K88*54</f>
        <v>54</v>
      </c>
      <c r="M88" s="40">
        <f>VLOOKUP(D88,[1]apoio_Preços_MGS!$A$6:$AN$238,18,FALSE)</f>
        <v>14224.110000000002</v>
      </c>
      <c r="N88" s="40">
        <f>VLOOKUP(D88,[1]apoio_Preços_MGS!$A$6:$AN$238,19,FALSE)</f>
        <v>0</v>
      </c>
      <c r="O88" s="40">
        <f>VLOOKUP(D88,[1]apoio_Preços_MGS!$A$6:$AN$238,20,FALSE)</f>
        <v>0</v>
      </c>
      <c r="P88" s="40">
        <f>VLOOKUP(D88,[1]apoio_Preços_MGS!$A$6:$AN$238,21,FALSE)</f>
        <v>0</v>
      </c>
      <c r="Q88" s="40">
        <f>VLOOKUP(D88,[1]apoio_Preços_MGS!$A$6:$AN$238,22,FALSE)</f>
        <v>0</v>
      </c>
      <c r="R88" s="40">
        <f>VLOOKUP(D88,[1]apoio_Preços_MGS!$A$6:$AN$238,23,FALSE)</f>
        <v>0</v>
      </c>
      <c r="S88" s="40">
        <f>VLOOKUP(D88,[1]apoio_Preços_MGS!$A$6:$AN$238,24,FALSE)</f>
        <v>0</v>
      </c>
      <c r="T88" s="40">
        <f>VLOOKUP(D88,[1]apoio_Preços_MGS!$A$6:$AN$238,25,FALSE)</f>
        <v>0</v>
      </c>
      <c r="U88" s="40">
        <f>SUM(M88:T88)</f>
        <v>14224.110000000002</v>
      </c>
      <c r="V88" s="41">
        <f>VLOOKUP(D88,[1]apoio_Preços_MGS!$A$6:$AN$238,27,FALSE)</f>
        <v>0.81799999999999995</v>
      </c>
      <c r="W88" s="40">
        <f>U88*V88</f>
        <v>11635.321980000001</v>
      </c>
      <c r="X88" s="40">
        <f>VLOOKUP(D88,[1]apoio_Preços_MGS!$A$6:$AN$238,29,FALSE)</f>
        <v>0</v>
      </c>
      <c r="Y88" s="40">
        <f>VLOOKUP(D88,[1]apoio_Preços_MGS!$A$6:$AN$238,30,FALSE)</f>
        <v>0</v>
      </c>
      <c r="Z88" s="40">
        <f>Y88+X88</f>
        <v>0</v>
      </c>
      <c r="AA88" s="40">
        <f>VLOOKUP(D88,[1]apoio_Preços_MGS!$A$6:$AN$238,32,FALSE)</f>
        <v>9.6</v>
      </c>
      <c r="AB88" s="40">
        <f>VLOOKUP(D88,[1]apoio_Preços_MGS!$A$6:$AN$238,33,FALSE)</f>
        <v>0</v>
      </c>
      <c r="AC88" s="41">
        <f>VLOOKUP(D88,[1]apoio_Preços_MGS!$A$6:$AN$238,34,FALSE)</f>
        <v>0</v>
      </c>
      <c r="AD88" s="40">
        <f>(U88+W88+Z88+AB88+AA88+VLOOKUP(C88,[1]apoio_Prec_Folha!$A:$S,7,FALSE))*AC88</f>
        <v>0</v>
      </c>
      <c r="AE88" s="42">
        <f>VLOOKUP(D88,[1]apoio_Preços_MGS!$A$6:$AN$238,36,FALSE)</f>
        <v>7.0000000000000007E-2</v>
      </c>
      <c r="AF88" s="40">
        <f>(U88+W88+Z88+AB88+AD88+AA88+VLOOKUP(C88,[1]apoio_Prec_Folha!$A:$S,7,FALSE))*AE88</f>
        <v>1849.4428386000002</v>
      </c>
      <c r="AG88" s="40">
        <f>TRUNC(U88+W88+Z88+AB88+AA88+AD88+AF88,2)</f>
        <v>27718.47</v>
      </c>
      <c r="AH88" s="43">
        <f>TRUNC($AG88*ROUND((7.6%+1.65%+$I88)/(1-(7.6%+1.65%+$I88)),5)+$AG88,2)</f>
        <v>32324.720000000001</v>
      </c>
      <c r="AI88" s="43">
        <f>AH88*K88</f>
        <v>32324.720000000001</v>
      </c>
      <c r="AJ88" s="43">
        <f>AH88*L88</f>
        <v>1745534.8800000001</v>
      </c>
      <c r="AK88" s="44">
        <f>VLOOKUP(D88,[1]apoio_Preços_MGS!$A$6:$AN$238,39,FALSE)</f>
        <v>109.09090909090909</v>
      </c>
      <c r="AL88" s="44">
        <f>IF(J88="demais municípios",VLOOKUP(D88,[1]apoio_Preços_MGS!$A$6:$AN$238,39,FALSE),0)</f>
        <v>0</v>
      </c>
      <c r="AM88" s="44">
        <f>TRUNC(ROUND(($I88)/(1-($I88)),5)*VLOOKUP(D88,[1]apoio_Preços_MGS!$A$6:$AN$238,39,FALSE)+VLOOKUP(D88,[1]apoio_Preços_MGS!$A$6:$AN$238,39,FALSE),2)</f>
        <v>114.83</v>
      </c>
      <c r="AN88" s="45">
        <f t="shared" si="32"/>
        <v>114.83</v>
      </c>
      <c r="AO88" s="44">
        <f>VLOOKUP(D88,[1]apoio_Preços_MGS!$A$6:$AN$238,40,FALSE)</f>
        <v>551.58000000000004</v>
      </c>
      <c r="AP88" s="44">
        <f>IF(J88="demais municípios",VLOOKUP(D88,[1]apoio_Preços_MGS!$A$6:$AN$238,40,FALSE),0)</f>
        <v>0</v>
      </c>
      <c r="AQ88" s="44">
        <f>TRUNC(ROUND(($I88)/(1-($I88)),5)*VLOOKUP(D88,[1]apoio_Preços_MGS!$A$6:$AN$238,40,FALSE)+VLOOKUP(D88,[1]apoio_Preços_MGS!$A$6:$AN$238,40,FALSE),2)</f>
        <v>580.6</v>
      </c>
      <c r="AR88" s="45">
        <f t="shared" si="33"/>
        <v>580.6</v>
      </c>
      <c r="AS88" s="45">
        <f t="shared" si="34"/>
        <v>695.43000000000006</v>
      </c>
      <c r="AT88" s="45">
        <f t="shared" si="35"/>
        <v>41725.800000000003</v>
      </c>
      <c r="AU88" s="62"/>
      <c r="AV88" s="46"/>
      <c r="AW88" s="47"/>
      <c r="AX88" s="48"/>
      <c r="AY88" s="49"/>
      <c r="BA88" s="48"/>
    </row>
    <row r="89" spans="1:53" ht="19.5" customHeight="1" x14ac:dyDescent="0.25">
      <c r="A89" s="33" t="str">
        <f t="shared" si="30"/>
        <v>156841400,05</v>
      </c>
      <c r="B89" s="33" t="str">
        <f t="shared" si="31"/>
        <v>20140,05</v>
      </c>
      <c r="C89" s="34" t="str">
        <f>VLOOKUP(D89,[1]apoio_Preços_MGS!$A$6:$B$238,2,FALSE)</f>
        <v>ANALISTA ESPECIALIZADO EM SAÚDE E MEIO AMBIENTE V</v>
      </c>
      <c r="D89" s="35">
        <v>2014</v>
      </c>
      <c r="E89" s="33" t="str">
        <f>VLOOKUP(D89,[1]apoio_Preços_MGS!$A$6:$F$238,6,FALSE)</f>
        <v>ANALISTA ESPECIALIZADO EM SAÚDE E MEIO AMBIENTE V - DIARISTA DIURNO - 40H</v>
      </c>
      <c r="F89" s="36">
        <f>IFERROR(VLOOKUP(D89,'[1]apoio_cód catmas'!$B$2:$C$863,2,FALSE),0)</f>
        <v>156841</v>
      </c>
      <c r="G89" s="33" t="str">
        <f>IF(H89="N/A",VLOOKUP(F89&amp;40,'[1]apoio_cód catmas'!$A$1:$G$233,4,FALSE),VLOOKUP(F89&amp;H89,'[1]apoio_cód catmas'!$A$1:$G$233,4,FALSE))</f>
        <v>ANALISTA ESPECIALIZADO EM SAUDE E MEIO AMBIENTE V - 20H, 22H, 24H, 30H, 36H, 40H OU 44H</v>
      </c>
      <c r="H89" s="36">
        <v>40</v>
      </c>
      <c r="I89" s="37">
        <v>0.05</v>
      </c>
      <c r="J89" s="38" t="s">
        <v>47</v>
      </c>
      <c r="K89" s="39">
        <v>1</v>
      </c>
      <c r="L89" s="39">
        <f>K89*54</f>
        <v>54</v>
      </c>
      <c r="M89" s="40">
        <f>VLOOKUP(D89,[1]apoio_Preços_MGS!$A$6:$AN$238,18,FALSE)</f>
        <v>21867.41</v>
      </c>
      <c r="N89" s="40">
        <f>VLOOKUP(D89,[1]apoio_Preços_MGS!$A$6:$AN$238,19,FALSE)</f>
        <v>0</v>
      </c>
      <c r="O89" s="40">
        <f>VLOOKUP(D89,[1]apoio_Preços_MGS!$A$6:$AN$238,20,FALSE)</f>
        <v>0</v>
      </c>
      <c r="P89" s="40">
        <f>VLOOKUP(D89,[1]apoio_Preços_MGS!$A$6:$AN$238,21,FALSE)</f>
        <v>0</v>
      </c>
      <c r="Q89" s="40">
        <f>VLOOKUP(D89,[1]apoio_Preços_MGS!$A$6:$AN$238,22,FALSE)</f>
        <v>0</v>
      </c>
      <c r="R89" s="40">
        <f>VLOOKUP(D89,[1]apoio_Preços_MGS!$A$6:$AN$238,23,FALSE)</f>
        <v>0</v>
      </c>
      <c r="S89" s="40">
        <f>VLOOKUP(D89,[1]apoio_Preços_MGS!$A$6:$AN$238,24,FALSE)</f>
        <v>0</v>
      </c>
      <c r="T89" s="40">
        <f>VLOOKUP(D89,[1]apoio_Preços_MGS!$A$6:$AN$238,25,FALSE)</f>
        <v>0</v>
      </c>
      <c r="U89" s="40">
        <f>SUM(M89:T89)</f>
        <v>21867.41</v>
      </c>
      <c r="V89" s="41">
        <f>VLOOKUP(D89,[1]apoio_Preços_MGS!$A$6:$AN$238,27,FALSE)</f>
        <v>0.81799999999999995</v>
      </c>
      <c r="W89" s="40">
        <f>U89*V89</f>
        <v>17887.541379999999</v>
      </c>
      <c r="X89" s="40">
        <f>VLOOKUP(D89,[1]apoio_Preços_MGS!$A$6:$AN$238,29,FALSE)</f>
        <v>0</v>
      </c>
      <c r="Y89" s="40">
        <f>VLOOKUP(D89,[1]apoio_Preços_MGS!$A$6:$AN$238,30,FALSE)</f>
        <v>0</v>
      </c>
      <c r="Z89" s="40">
        <f>Y89+X89</f>
        <v>0</v>
      </c>
      <c r="AA89" s="40">
        <f>VLOOKUP(D89,[1]apoio_Preços_MGS!$A$6:$AN$238,32,FALSE)</f>
        <v>9.6</v>
      </c>
      <c r="AB89" s="40">
        <f>VLOOKUP(D89,[1]apoio_Preços_MGS!$A$6:$AN$238,33,FALSE)</f>
        <v>0</v>
      </c>
      <c r="AC89" s="41">
        <f>VLOOKUP(D89,[1]apoio_Preços_MGS!$A$6:$AN$238,34,FALSE)</f>
        <v>0</v>
      </c>
      <c r="AD89" s="40">
        <f>(U89+W89+Z89+AB89+AA89+VLOOKUP(C89,[1]apoio_Prec_Folha!$A:$S,7,FALSE))*AC89</f>
        <v>0</v>
      </c>
      <c r="AE89" s="42">
        <f>VLOOKUP(D89,[1]apoio_Preços_MGS!$A$6:$AN$238,36,FALSE)</f>
        <v>7.0000000000000007E-2</v>
      </c>
      <c r="AF89" s="40">
        <f>(U89+W89+Z89+AB89+AD89+AA89+VLOOKUP(C89,[1]apoio_Prec_Folha!$A:$S,7,FALSE))*AE89</f>
        <v>2822.1291966000003</v>
      </c>
      <c r="AG89" s="40">
        <f>TRUNC(U89+W89+Z89+AB89+AA89+AD89+AF89,2)</f>
        <v>42586.68</v>
      </c>
      <c r="AH89" s="43">
        <f>TRUNC($AG89*ROUND((7.6%+1.65%+$I89)/(1-(7.6%+1.65%+$I89)),5)+$AG89,2)</f>
        <v>49663.73</v>
      </c>
      <c r="AI89" s="43">
        <f>AH89*K89</f>
        <v>49663.73</v>
      </c>
      <c r="AJ89" s="43">
        <f>AH89*L89</f>
        <v>2681841.4200000004</v>
      </c>
      <c r="AK89" s="44">
        <f>VLOOKUP(D89,[1]apoio_Preços_MGS!$A$6:$AN$238,39,FALSE)</f>
        <v>181.81818181818184</v>
      </c>
      <c r="AL89" s="44">
        <f>IF(J89="demais municípios",VLOOKUP(D89,[1]apoio_Preços_MGS!$A$6:$AN$238,39,FALSE),0)</f>
        <v>0</v>
      </c>
      <c r="AM89" s="44">
        <f>TRUNC(ROUND(($I89)/(1-($I89)),5)*VLOOKUP(D89,[1]apoio_Preços_MGS!$A$6:$AN$238,39,FALSE)+VLOOKUP(D89,[1]apoio_Preços_MGS!$A$6:$AN$238,39,FALSE),2)</f>
        <v>191.38</v>
      </c>
      <c r="AN89" s="45">
        <f t="shared" si="32"/>
        <v>191.38</v>
      </c>
      <c r="AO89" s="44">
        <f>VLOOKUP(D89,[1]apoio_Preços_MGS!$A$6:$AN$238,40,FALSE)</f>
        <v>551.58000000000004</v>
      </c>
      <c r="AP89" s="44">
        <f>IF(J89="demais municípios",VLOOKUP(D89,[1]apoio_Preços_MGS!$A$6:$AN$238,40,FALSE),0)</f>
        <v>0</v>
      </c>
      <c r="AQ89" s="44">
        <f>TRUNC(ROUND(($I89)/(1-($I89)),5)*VLOOKUP(D89,[1]apoio_Preços_MGS!$A$6:$AN$238,40,FALSE)+VLOOKUP(D89,[1]apoio_Preços_MGS!$A$6:$AN$238,40,FALSE),2)</f>
        <v>580.6</v>
      </c>
      <c r="AR89" s="45">
        <f t="shared" si="33"/>
        <v>580.6</v>
      </c>
      <c r="AS89" s="45">
        <f t="shared" si="34"/>
        <v>771.98</v>
      </c>
      <c r="AT89" s="45">
        <f t="shared" si="35"/>
        <v>46318.8</v>
      </c>
      <c r="AU89" s="62"/>
      <c r="AV89" s="46"/>
      <c r="AW89" s="47"/>
      <c r="AX89" s="48"/>
      <c r="AY89" s="49"/>
      <c r="BA89" s="48"/>
    </row>
    <row r="90" spans="1:53" ht="19.5" customHeight="1" x14ac:dyDescent="0.25">
      <c r="A90" s="33" t="str">
        <f t="shared" si="30"/>
        <v>63690440,05</v>
      </c>
      <c r="B90" s="33" t="str">
        <f t="shared" si="31"/>
        <v>2250,05</v>
      </c>
      <c r="C90" s="34" t="str">
        <f>VLOOKUP(D90,[1]apoio_Preços_MGS!$A$6:$B$238,2,FALSE)</f>
        <v>APOIO À MANUTENÇÃO VEICULAR</v>
      </c>
      <c r="D90" s="35">
        <v>225</v>
      </c>
      <c r="E90" s="33" t="str">
        <f>VLOOKUP(D90,[1]apoio_Preços_MGS!$A$6:$F$238,6,FALSE)</f>
        <v>APOIO À MANUTENÇÃO VEICULAR - DIARISTA DIURNO - 44H</v>
      </c>
      <c r="F90" s="36">
        <f>IFERROR(VLOOKUP(D90,'[1]apoio_cód catmas'!$B$2:$C$863,2,FALSE),0)</f>
        <v>63690</v>
      </c>
      <c r="G90" s="33" t="str">
        <f>IF(H90="N/A",VLOOKUP(F90&amp;40,'[1]apoio_cód catmas'!$A$1:$G$233,4,FALSE),VLOOKUP(F90&amp;H90,'[1]apoio_cód catmas'!$A$1:$G$233,4,FALSE))</f>
        <v>APOIO A MANUTENCAO VEICULAR - 40H OU 44H</v>
      </c>
      <c r="H90" s="36">
        <v>44</v>
      </c>
      <c r="I90" s="37">
        <v>0.05</v>
      </c>
      <c r="J90" s="38" t="s">
        <v>47</v>
      </c>
      <c r="K90" s="39">
        <v>6</v>
      </c>
      <c r="L90" s="39">
        <f t="shared" si="2"/>
        <v>360</v>
      </c>
      <c r="M90" s="40">
        <f>VLOOKUP(D90,[1]apoio_Preços_MGS!$A$6:$AN$238,18,FALSE)</f>
        <v>2855.5923750000002</v>
      </c>
      <c r="N90" s="40">
        <f>VLOOKUP(D90,[1]apoio_Preços_MGS!$A$6:$AN$238,19,FALSE)</f>
        <v>0</v>
      </c>
      <c r="O90" s="40">
        <f>VLOOKUP(D90,[1]apoio_Preços_MGS!$A$6:$AN$238,20,FALSE)</f>
        <v>0</v>
      </c>
      <c r="P90" s="40">
        <f>VLOOKUP(D90,[1]apoio_Preços_MGS!$A$6:$AN$238,21,FALSE)</f>
        <v>0</v>
      </c>
      <c r="Q90" s="40">
        <f>VLOOKUP(D90,[1]apoio_Preços_MGS!$A$6:$AN$238,22,FALSE)</f>
        <v>0</v>
      </c>
      <c r="R90" s="40">
        <f>VLOOKUP(D90,[1]apoio_Preços_MGS!$A$6:$AN$238,23,FALSE)</f>
        <v>0</v>
      </c>
      <c r="S90" s="40">
        <f>VLOOKUP(D90,[1]apoio_Preços_MGS!$A$6:$AN$238,24,FALSE)</f>
        <v>0</v>
      </c>
      <c r="T90" s="40">
        <f>VLOOKUP(D90,[1]apoio_Preços_MGS!$A$6:$AN$238,25,FALSE)</f>
        <v>0</v>
      </c>
      <c r="U90" s="40">
        <f t="shared" si="3"/>
        <v>2855.5923750000002</v>
      </c>
      <c r="V90" s="41">
        <f>VLOOKUP(D90,[1]apoio_Preços_MGS!$A$6:$AN$238,27,FALSE)</f>
        <v>0.81799999999999995</v>
      </c>
      <c r="W90" s="40">
        <f t="shared" si="4"/>
        <v>2335.8745627500002</v>
      </c>
      <c r="X90" s="40">
        <f>VLOOKUP(D90,[1]apoio_Preços_MGS!$A$6:$AN$238,29,FALSE)</f>
        <v>19.18</v>
      </c>
      <c r="Y90" s="40">
        <f>VLOOKUP(D90,[1]apoio_Preços_MGS!$A$6:$AN$238,30,FALSE)</f>
        <v>20.262500000000003</v>
      </c>
      <c r="Z90" s="40">
        <f t="shared" si="5"/>
        <v>39.442500000000003</v>
      </c>
      <c r="AA90" s="40">
        <f>VLOOKUP(D90,[1]apoio_Preços_MGS!$A$6:$AN$238,32,FALSE)</f>
        <v>5.4827373599999998</v>
      </c>
      <c r="AB90" s="40">
        <f>VLOOKUP(D90,[1]apoio_Preços_MGS!$A$6:$AN$238,33,FALSE)</f>
        <v>344.565</v>
      </c>
      <c r="AC90" s="41">
        <f>VLOOKUP(D90,[1]apoio_Preços_MGS!$A$6:$AN$238,34,FALSE)</f>
        <v>3.275860028640018E-2</v>
      </c>
      <c r="AD90" s="40">
        <f>(U90+W90+Z90+AB90+AA90+VLOOKUP(C90,[1]apoio_Prec_Folha!$A:$S,7,FALSE))*AC90</f>
        <v>200.89333406091819</v>
      </c>
      <c r="AE90" s="42">
        <f>VLOOKUP(D90,[1]apoio_Preços_MGS!$A$6:$AN$238,36,FALSE)</f>
        <v>7.0000000000000007E-2</v>
      </c>
      <c r="AF90" s="40">
        <f>(U90+W90+Z90+AB90+AD90+AA90+VLOOKUP(C90,[1]apoio_Prec_Folha!$A:$S,7,FALSE))*AE90</f>
        <v>443.34013564196431</v>
      </c>
      <c r="AG90" s="40">
        <f t="shared" si="6"/>
        <v>6225.19</v>
      </c>
      <c r="AH90" s="43">
        <f t="shared" si="7"/>
        <v>7259.69</v>
      </c>
      <c r="AI90" s="43">
        <f t="shared" si="8"/>
        <v>43558.14</v>
      </c>
      <c r="AJ90" s="43">
        <f t="shared" si="9"/>
        <v>2613488.4</v>
      </c>
      <c r="AK90" s="44">
        <f>VLOOKUP(D90,[1]apoio_Preços_MGS!$A$6:$AN$238,39,FALSE)</f>
        <v>200.00000000000003</v>
      </c>
      <c r="AL90" s="44">
        <f>IF(J90="demais municípios",VLOOKUP(D90,[1]apoio_Preços_MGS!$A$6:$AN$238,39,FALSE),0)</f>
        <v>0</v>
      </c>
      <c r="AM90" s="44">
        <f>TRUNC(ROUND(($I90)/(1-($I90)),5)*VLOOKUP(D90,[1]apoio_Preços_MGS!$A$6:$AN$238,39,FALSE)+VLOOKUP(D90,[1]apoio_Preços_MGS!$A$6:$AN$238,39,FALSE),2)</f>
        <v>210.52</v>
      </c>
      <c r="AN90" s="45">
        <f t="shared" si="32"/>
        <v>1263.1200000000001</v>
      </c>
      <c r="AO90" s="44">
        <f>VLOOKUP(D90,[1]apoio_Preços_MGS!$A$6:$AN$238,40,FALSE)</f>
        <v>551.58000000000004</v>
      </c>
      <c r="AP90" s="44">
        <f>IF(J90="demais municípios",VLOOKUP(D90,[1]apoio_Preços_MGS!$A$6:$AN$238,40,FALSE),0)</f>
        <v>0</v>
      </c>
      <c r="AQ90" s="44">
        <f>TRUNC(ROUND(($I90)/(1-($I90)),5)*VLOOKUP(D90,[1]apoio_Preços_MGS!$A$6:$AN$238,40,FALSE)+VLOOKUP(D90,[1]apoio_Preços_MGS!$A$6:$AN$238,40,FALSE),2)</f>
        <v>580.6</v>
      </c>
      <c r="AR90" s="45">
        <f t="shared" si="33"/>
        <v>3483.6000000000004</v>
      </c>
      <c r="AS90" s="45">
        <f t="shared" si="34"/>
        <v>4746.72</v>
      </c>
      <c r="AT90" s="45">
        <f t="shared" si="35"/>
        <v>284803.20000000001</v>
      </c>
      <c r="AU90" s="62"/>
      <c r="AV90" s="46"/>
      <c r="AW90" s="47"/>
      <c r="AX90" s="48"/>
      <c r="AY90" s="49"/>
      <c r="BA90" s="48"/>
    </row>
    <row r="91" spans="1:53" ht="19.5" customHeight="1" x14ac:dyDescent="0.25">
      <c r="A91" s="33" t="str">
        <f t="shared" si="30"/>
        <v>63711400,05</v>
      </c>
      <c r="B91" s="33" t="str">
        <f t="shared" si="31"/>
        <v>2700,05</v>
      </c>
      <c r="C91" s="34" t="str">
        <f>VLOOKUP(D91,[1]apoio_Preços_MGS!$A$6:$B$238,2,FALSE)</f>
        <v>ARTESÃO</v>
      </c>
      <c r="D91" s="35">
        <v>270</v>
      </c>
      <c r="E91" s="33" t="str">
        <f>VLOOKUP(D91,[1]apoio_Preços_MGS!$A$6:$F$238,6,FALSE)</f>
        <v>ARTESÃO - DIARISTA DIURNO - 40H</v>
      </c>
      <c r="F91" s="36">
        <f>IFERROR(VLOOKUP(D91,'[1]apoio_cód catmas'!$B$2:$C$863,2,FALSE),0)</f>
        <v>63711</v>
      </c>
      <c r="G91" s="33" t="str">
        <f>IF(H91="N/A",VLOOKUP(F91&amp;40,'[1]apoio_cód catmas'!$A$1:$G$233,4,FALSE),VLOOKUP(F91&amp;H91,'[1]apoio_cód catmas'!$A$1:$G$233,4,FALSE))</f>
        <v>ARTESAO - 40H</v>
      </c>
      <c r="H91" s="36">
        <v>40</v>
      </c>
      <c r="I91" s="37">
        <v>0.05</v>
      </c>
      <c r="J91" s="38" t="s">
        <v>47</v>
      </c>
      <c r="K91" s="39">
        <v>6</v>
      </c>
      <c r="L91" s="39">
        <f t="shared" ref="L91:L168" si="42">K91*60</f>
        <v>360</v>
      </c>
      <c r="M91" s="40">
        <f>VLOOKUP(D91,[1]apoio_Preços_MGS!$A$6:$AN$238,18,FALSE)</f>
        <v>2086.1019999999999</v>
      </c>
      <c r="N91" s="40">
        <f>VLOOKUP(D91,[1]apoio_Preços_MGS!$A$6:$AN$238,19,FALSE)</f>
        <v>0</v>
      </c>
      <c r="O91" s="40">
        <f>VLOOKUP(D91,[1]apoio_Preços_MGS!$A$6:$AN$238,20,FALSE)</f>
        <v>0</v>
      </c>
      <c r="P91" s="40">
        <f>VLOOKUP(D91,[1]apoio_Preços_MGS!$A$6:$AN$238,21,FALSE)</f>
        <v>0</v>
      </c>
      <c r="Q91" s="40">
        <f>VLOOKUP(D91,[1]apoio_Preços_MGS!$A$6:$AN$238,22,FALSE)</f>
        <v>0</v>
      </c>
      <c r="R91" s="40">
        <f>VLOOKUP(D91,[1]apoio_Preços_MGS!$A$6:$AN$238,23,FALSE)</f>
        <v>0</v>
      </c>
      <c r="S91" s="40">
        <f>VLOOKUP(D91,[1]apoio_Preços_MGS!$A$6:$AN$238,24,FALSE)</f>
        <v>0</v>
      </c>
      <c r="T91" s="40">
        <f>VLOOKUP(D91,[1]apoio_Preços_MGS!$A$6:$AN$238,25,FALSE)</f>
        <v>0</v>
      </c>
      <c r="U91" s="40">
        <f t="shared" ref="U91:U168" si="43">SUM(M91:T91)</f>
        <v>2086.1019999999999</v>
      </c>
      <c r="V91" s="41">
        <f>VLOOKUP(D91,[1]apoio_Preços_MGS!$A$6:$AN$238,27,FALSE)</f>
        <v>0.81799999999999995</v>
      </c>
      <c r="W91" s="40">
        <f t="shared" ref="W91:W168" si="44">U91*V91</f>
        <v>1706.4314359999998</v>
      </c>
      <c r="X91" s="40">
        <f>VLOOKUP(D91,[1]apoio_Preços_MGS!$A$6:$AN$238,29,FALSE)</f>
        <v>20.923636363636362</v>
      </c>
      <c r="Y91" s="40">
        <f>VLOOKUP(D91,[1]apoio_Preços_MGS!$A$6:$AN$238,30,FALSE)</f>
        <v>0</v>
      </c>
      <c r="Z91" s="40">
        <f t="shared" ref="Z91:Z170" si="45">Y91+X91</f>
        <v>20.923636363636362</v>
      </c>
      <c r="AA91" s="40">
        <f>VLOOKUP(D91,[1]apoio_Preços_MGS!$A$6:$AN$238,32,FALSE)</f>
        <v>4.0053158399999997</v>
      </c>
      <c r="AB91" s="40">
        <f>VLOOKUP(D91,[1]apoio_Preços_MGS!$A$6:$AN$238,33,FALSE)</f>
        <v>0</v>
      </c>
      <c r="AC91" s="41">
        <f>VLOOKUP(D91,[1]apoio_Preços_MGS!$A$6:$AN$238,34,FALSE)</f>
        <v>0</v>
      </c>
      <c r="AD91" s="40">
        <f>(U91+W91+Z91+AB91+AA91+VLOOKUP(C91,[1]apoio_Prec_Folha!$A:$S,7,FALSE))*AC91</f>
        <v>0</v>
      </c>
      <c r="AE91" s="42">
        <f>VLOOKUP(D91,[1]apoio_Preços_MGS!$A$6:$AN$238,36,FALSE)</f>
        <v>7.0000000000000007E-2</v>
      </c>
      <c r="AF91" s="40">
        <f>(U91+W91+Z91+AB91+AD91+AA91+VLOOKUP(C91,[1]apoio_Prec_Folha!$A:$S,7,FALSE))*AE91</f>
        <v>305.83296717425458</v>
      </c>
      <c r="AG91" s="40">
        <f t="shared" ref="AG91:AG170" si="46">TRUNC(U91+W91+Z91+AB91+AA91+AD91+AF91,2)</f>
        <v>4123.29</v>
      </c>
      <c r="AH91" s="43">
        <f t="shared" ref="AH91:AH170" si="47">TRUNC($AG91*ROUND((7.6%+1.65%+$I91)/(1-(7.6%+1.65%+$I91)),5)+$AG91,2)</f>
        <v>4808.49</v>
      </c>
      <c r="AI91" s="43">
        <f t="shared" ref="AI91:AI170" si="48">AH91*K91</f>
        <v>28850.94</v>
      </c>
      <c r="AJ91" s="43">
        <f t="shared" ref="AJ91:AJ170" si="49">AH91*L91</f>
        <v>1731056.4</v>
      </c>
      <c r="AK91" s="44">
        <f>VLOOKUP(D91,[1]apoio_Preços_MGS!$A$6:$AN$238,39,FALSE)</f>
        <v>181.81818181818184</v>
      </c>
      <c r="AL91" s="44">
        <f>IF(J91="demais municípios",VLOOKUP(D91,[1]apoio_Preços_MGS!$A$6:$AN$238,39,FALSE),0)</f>
        <v>0</v>
      </c>
      <c r="AM91" s="44">
        <f>TRUNC(ROUND(($I91)/(1-($I91)),5)*VLOOKUP(D91,[1]apoio_Preços_MGS!$A$6:$AN$238,39,FALSE)+VLOOKUP(D91,[1]apoio_Preços_MGS!$A$6:$AN$238,39,FALSE),2)</f>
        <v>191.38</v>
      </c>
      <c r="AN91" s="45">
        <f t="shared" si="32"/>
        <v>1148.28</v>
      </c>
      <c r="AO91" s="44">
        <f>VLOOKUP(D91,[1]apoio_Preços_MGS!$A$6:$AN$238,40,FALSE)</f>
        <v>551.58000000000004</v>
      </c>
      <c r="AP91" s="44">
        <f>IF(J91="demais municípios",VLOOKUP(D91,[1]apoio_Preços_MGS!$A$6:$AN$238,40,FALSE),0)</f>
        <v>0</v>
      </c>
      <c r="AQ91" s="44">
        <f>TRUNC(ROUND(($I91)/(1-($I91)),5)*VLOOKUP(D91,[1]apoio_Preços_MGS!$A$6:$AN$238,40,FALSE)+VLOOKUP(D91,[1]apoio_Preços_MGS!$A$6:$AN$238,40,FALSE),2)</f>
        <v>580.6</v>
      </c>
      <c r="AR91" s="45">
        <f t="shared" si="33"/>
        <v>3483.6000000000004</v>
      </c>
      <c r="AS91" s="45">
        <f t="shared" si="34"/>
        <v>4631.88</v>
      </c>
      <c r="AT91" s="45">
        <f t="shared" si="35"/>
        <v>277912.8</v>
      </c>
      <c r="AU91" s="62"/>
      <c r="AV91" s="46"/>
      <c r="AW91" s="47"/>
      <c r="AX91" s="48"/>
      <c r="AY91" s="49"/>
      <c r="BA91" s="48"/>
    </row>
    <row r="92" spans="1:53" ht="19.5" customHeight="1" x14ac:dyDescent="0.25">
      <c r="A92" s="33" t="str">
        <f t="shared" si="30"/>
        <v>63304300,05</v>
      </c>
      <c r="B92" s="33" t="str">
        <f t="shared" si="31"/>
        <v>170,05</v>
      </c>
      <c r="C92" s="34" t="str">
        <f>VLOOKUP(D92,[1]apoio_Preços_MGS!$A$6:$B$238,2,FALSE)</f>
        <v>ASCENSORISTA</v>
      </c>
      <c r="D92" s="35">
        <v>17</v>
      </c>
      <c r="E92" s="33" t="str">
        <f>VLOOKUP(D92,[1]apoio_Preços_MGS!$A$6:$F$238,6,FALSE)</f>
        <v>ASCENSORISTA - DIARISTA DIURNO - 30H</v>
      </c>
      <c r="F92" s="36">
        <f>IFERROR(VLOOKUP(D92,'[1]apoio_cód catmas'!$B$2:$C$863,2,FALSE),0)</f>
        <v>63304</v>
      </c>
      <c r="G92" s="33" t="str">
        <f>IF(H92="N/A",VLOOKUP(F92&amp;40,'[1]apoio_cód catmas'!$A$1:$G$233,4,FALSE),VLOOKUP(F92&amp;H92,'[1]apoio_cód catmas'!$A$1:$G$233,4,FALSE))</f>
        <v>ASCENSORISTA - 30H</v>
      </c>
      <c r="H92" s="36">
        <v>30</v>
      </c>
      <c r="I92" s="37">
        <v>0.05</v>
      </c>
      <c r="J92" s="38" t="s">
        <v>47</v>
      </c>
      <c r="K92" s="39">
        <v>24</v>
      </c>
      <c r="L92" s="39">
        <f t="shared" si="42"/>
        <v>1440</v>
      </c>
      <c r="M92" s="40">
        <f>VLOOKUP(D92,[1]apoio_Preços_MGS!$A$6:$AN$238,18,FALSE)</f>
        <v>1674.5764722222216</v>
      </c>
      <c r="N92" s="40">
        <f>VLOOKUP(D92,[1]apoio_Preços_MGS!$A$6:$AN$238,19,FALSE)</f>
        <v>0</v>
      </c>
      <c r="O92" s="40">
        <f>VLOOKUP(D92,[1]apoio_Preços_MGS!$A$6:$AN$238,20,FALSE)</f>
        <v>0</v>
      </c>
      <c r="P92" s="40">
        <f>VLOOKUP(D92,[1]apoio_Preços_MGS!$A$6:$AN$238,21,FALSE)</f>
        <v>0</v>
      </c>
      <c r="Q92" s="40">
        <f>VLOOKUP(D92,[1]apoio_Preços_MGS!$A$6:$AN$238,22,FALSE)</f>
        <v>0</v>
      </c>
      <c r="R92" s="40">
        <f>VLOOKUP(D92,[1]apoio_Preços_MGS!$A$6:$AN$238,23,FALSE)</f>
        <v>0</v>
      </c>
      <c r="S92" s="40">
        <f>VLOOKUP(D92,[1]apoio_Preços_MGS!$A$6:$AN$238,24,FALSE)</f>
        <v>0</v>
      </c>
      <c r="T92" s="40">
        <f>VLOOKUP(D92,[1]apoio_Preços_MGS!$A$6:$AN$238,25,FALSE)</f>
        <v>0</v>
      </c>
      <c r="U92" s="40">
        <f t="shared" si="43"/>
        <v>1674.5764722222216</v>
      </c>
      <c r="V92" s="41">
        <f>VLOOKUP(D92,[1]apoio_Preços_MGS!$A$6:$AN$238,27,FALSE)</f>
        <v>0.81799999999999995</v>
      </c>
      <c r="W92" s="40">
        <f t="shared" si="44"/>
        <v>1369.8035542777773</v>
      </c>
      <c r="X92" s="40">
        <f>VLOOKUP(D92,[1]apoio_Preços_MGS!$A$6:$AN$238,29,FALSE)</f>
        <v>39.767499999999998</v>
      </c>
      <c r="Y92" s="40">
        <f>VLOOKUP(D92,[1]apoio_Preços_MGS!$A$6:$AN$238,30,FALSE)</f>
        <v>0</v>
      </c>
      <c r="Z92" s="40">
        <f t="shared" si="45"/>
        <v>39.767499999999998</v>
      </c>
      <c r="AA92" s="40">
        <f>VLOOKUP(D92,[1]apoio_Preços_MGS!$A$6:$AN$238,32,FALSE)</f>
        <v>3.215186826666665</v>
      </c>
      <c r="AB92" s="40">
        <f>VLOOKUP(D92,[1]apoio_Preços_MGS!$A$6:$AN$238,33,FALSE)</f>
        <v>308.89101010101012</v>
      </c>
      <c r="AC92" s="41">
        <f>VLOOKUP(D92,[1]apoio_Preços_MGS!$A$6:$AN$238,34,FALSE)</f>
        <v>3.3204910867883783E-2</v>
      </c>
      <c r="AD92" s="40">
        <f>(U92+W92+Z92+AB92+AA92+VLOOKUP(C92,[1]apoio_Prec_Folha!$A:$S,7,FALSE))*AC92</f>
        <v>131.08746690764173</v>
      </c>
      <c r="AE92" s="42">
        <f>VLOOKUP(D92,[1]apoio_Preços_MGS!$A$6:$AN$238,36,FALSE)</f>
        <v>7.0000000000000007E-2</v>
      </c>
      <c r="AF92" s="40">
        <f>(U92+W92+Z92+AB92+AD92+AA92+VLOOKUP(C92,[1]apoio_Prec_Folha!$A:$S,7,FALSE))*AE92</f>
        <v>285.52448332347223</v>
      </c>
      <c r="AG92" s="40">
        <f t="shared" si="46"/>
        <v>3812.86</v>
      </c>
      <c r="AH92" s="43">
        <f t="shared" si="47"/>
        <v>4446.4799999999996</v>
      </c>
      <c r="AI92" s="43">
        <f t="shared" si="48"/>
        <v>106715.51999999999</v>
      </c>
      <c r="AJ92" s="43">
        <f t="shared" si="49"/>
        <v>6402931.1999999993</v>
      </c>
      <c r="AK92" s="44">
        <f>VLOOKUP(D92,[1]apoio_Preços_MGS!$A$6:$AN$238,39,FALSE)</f>
        <v>136.36363636363637</v>
      </c>
      <c r="AL92" s="44">
        <f>IF(J92="demais municípios",VLOOKUP(D92,[1]apoio_Preços_MGS!$A$6:$AN$238,39,FALSE),0)</f>
        <v>0</v>
      </c>
      <c r="AM92" s="44">
        <f>TRUNC(ROUND(($I92)/(1-($I92)),5)*VLOOKUP(D92,[1]apoio_Preços_MGS!$A$6:$AN$238,39,FALSE)+VLOOKUP(D92,[1]apoio_Preços_MGS!$A$6:$AN$238,39,FALSE),2)</f>
        <v>143.54</v>
      </c>
      <c r="AN92" s="45">
        <f t="shared" si="32"/>
        <v>3444.96</v>
      </c>
      <c r="AO92" s="44">
        <f>VLOOKUP(D92,[1]apoio_Preços_MGS!$A$6:$AN$238,40,FALSE)</f>
        <v>551.58000000000004</v>
      </c>
      <c r="AP92" s="44">
        <f>IF(J92="demais municípios",VLOOKUP(D92,[1]apoio_Preços_MGS!$A$6:$AN$238,40,FALSE),0)</f>
        <v>0</v>
      </c>
      <c r="AQ92" s="44">
        <f>TRUNC(ROUND(($I92)/(1-($I92)),5)*VLOOKUP(D92,[1]apoio_Preços_MGS!$A$6:$AN$238,40,FALSE)+VLOOKUP(D92,[1]apoio_Preços_MGS!$A$6:$AN$238,40,FALSE),2)</f>
        <v>580.6</v>
      </c>
      <c r="AR92" s="45">
        <f t="shared" si="33"/>
        <v>13934.400000000001</v>
      </c>
      <c r="AS92" s="45">
        <f t="shared" si="34"/>
        <v>17379.36</v>
      </c>
      <c r="AT92" s="45">
        <f t="shared" si="35"/>
        <v>1042761.6000000001</v>
      </c>
      <c r="AU92" s="62"/>
      <c r="AV92" s="46"/>
      <c r="AW92" s="47"/>
      <c r="AX92" s="48"/>
      <c r="AY92" s="49"/>
      <c r="BA92" s="48"/>
    </row>
    <row r="93" spans="1:53" ht="19.5" customHeight="1" x14ac:dyDescent="0.25">
      <c r="A93" s="33" t="str">
        <f t="shared" si="30"/>
        <v>63592360,05</v>
      </c>
      <c r="B93" s="33" t="str">
        <f t="shared" si="31"/>
        <v>160,05</v>
      </c>
      <c r="C93" s="34" t="str">
        <f>VLOOKUP(D93,[1]apoio_Preços_MGS!$A$6:$B$238,2,FALSE)</f>
        <v>ASCENSORISTA</v>
      </c>
      <c r="D93" s="35">
        <v>16</v>
      </c>
      <c r="E93" s="33" t="str">
        <f>VLOOKUP(D93,[1]apoio_Preços_MGS!$A$6:$F$238,6,FALSE)</f>
        <v>ASCENSORISTA - ESCALA DIURNA - 36H</v>
      </c>
      <c r="F93" s="36">
        <f>IFERROR(VLOOKUP(D93,'[1]apoio_cód catmas'!$B$2:$C$863,2,FALSE),0)</f>
        <v>63592</v>
      </c>
      <c r="G93" s="33" t="str">
        <f>IF(H93="N/A",VLOOKUP(F93&amp;40,'[1]apoio_cód catmas'!$A$1:$G$233,4,FALSE),VLOOKUP(F93&amp;H93,'[1]apoio_cód catmas'!$A$1:$G$233,4,FALSE))</f>
        <v>ASCENSORISTA - 36H</v>
      </c>
      <c r="H93" s="36">
        <v>36</v>
      </c>
      <c r="I93" s="37">
        <v>0.05</v>
      </c>
      <c r="J93" s="38" t="s">
        <v>47</v>
      </c>
      <c r="K93" s="39">
        <v>17</v>
      </c>
      <c r="L93" s="39">
        <f t="shared" si="42"/>
        <v>1020</v>
      </c>
      <c r="M93" s="40">
        <f>VLOOKUP(D93,[1]apoio_Preços_MGS!$A$6:$AN$238,18,FALSE)</f>
        <v>2009.4917666666661</v>
      </c>
      <c r="N93" s="40">
        <f>VLOOKUP(D93,[1]apoio_Preços_MGS!$A$6:$AN$238,19,FALSE)</f>
        <v>0</v>
      </c>
      <c r="O93" s="40">
        <f>VLOOKUP(D93,[1]apoio_Preços_MGS!$A$6:$AN$238,20,FALSE)</f>
        <v>0</v>
      </c>
      <c r="P93" s="40">
        <f>VLOOKUP(D93,[1]apoio_Preços_MGS!$A$6:$AN$238,21,FALSE)</f>
        <v>0</v>
      </c>
      <c r="Q93" s="40">
        <f>VLOOKUP(D93,[1]apoio_Preços_MGS!$A$6:$AN$238,22,FALSE)</f>
        <v>0</v>
      </c>
      <c r="R93" s="40">
        <f>VLOOKUP(D93,[1]apoio_Preços_MGS!$A$6:$AN$238,23,FALSE)</f>
        <v>0</v>
      </c>
      <c r="S93" s="40">
        <f>VLOOKUP(D93,[1]apoio_Preços_MGS!$A$6:$AN$238,24,FALSE)</f>
        <v>90.706225578703666</v>
      </c>
      <c r="T93" s="40">
        <f>VLOOKUP(D93,[1]apoio_Preços_MGS!$A$6:$AN$238,25,FALSE)</f>
        <v>0</v>
      </c>
      <c r="U93" s="40">
        <f t="shared" si="43"/>
        <v>2100.1979922453697</v>
      </c>
      <c r="V93" s="41">
        <f>VLOOKUP(D93,[1]apoio_Preços_MGS!$A$6:$AN$238,27,FALSE)</f>
        <v>0.81799999999999995</v>
      </c>
      <c r="W93" s="40">
        <f t="shared" si="44"/>
        <v>1717.9619576567122</v>
      </c>
      <c r="X93" s="40">
        <f>VLOOKUP(D93,[1]apoio_Preços_MGS!$A$6:$AN$238,29,FALSE)</f>
        <v>39.767499999999998</v>
      </c>
      <c r="Y93" s="40">
        <f>VLOOKUP(D93,[1]apoio_Preços_MGS!$A$6:$AN$238,30,FALSE)</f>
        <v>0</v>
      </c>
      <c r="Z93" s="40">
        <f t="shared" si="45"/>
        <v>39.767499999999998</v>
      </c>
      <c r="AA93" s="40">
        <f>VLOOKUP(D93,[1]apoio_Preços_MGS!$A$6:$AN$238,32,FALSE)</f>
        <v>3.8582241919999984</v>
      </c>
      <c r="AB93" s="40">
        <f>VLOOKUP(D93,[1]apoio_Preços_MGS!$A$6:$AN$238,33,FALSE)</f>
        <v>291.110101010101</v>
      </c>
      <c r="AC93" s="41">
        <f>VLOOKUP(D93,[1]apoio_Preços_MGS!$A$6:$AN$238,34,FALSE)</f>
        <v>3.3204910867883783E-2</v>
      </c>
      <c r="AD93" s="40">
        <f>(U93+W93+Z93+AB93+AA93+VLOOKUP(C93,[1]apoio_Prec_Folha!$A:$S,7,FALSE))*AC93</f>
        <v>156.21169879245289</v>
      </c>
      <c r="AE93" s="42">
        <f>VLOOKUP(D93,[1]apoio_Preços_MGS!$A$6:$AN$238,36,FALSE)</f>
        <v>7.0000000000000007E-2</v>
      </c>
      <c r="AF93" s="40">
        <f>(U93+W93+Z93+AB93+AD93+AA93+VLOOKUP(C93,[1]apoio_Prec_Folha!$A:$S,7,FALSE))*AE93</f>
        <v>340.24812317276456</v>
      </c>
      <c r="AG93" s="40">
        <f t="shared" si="46"/>
        <v>4649.3500000000004</v>
      </c>
      <c r="AH93" s="43">
        <f t="shared" si="47"/>
        <v>5421.97</v>
      </c>
      <c r="AI93" s="43">
        <f t="shared" si="48"/>
        <v>92173.49</v>
      </c>
      <c r="AJ93" s="43">
        <f t="shared" si="49"/>
        <v>5530409.4000000004</v>
      </c>
      <c r="AK93" s="44">
        <f>VLOOKUP(D93,[1]apoio_Preços_MGS!$A$6:$AN$238,39,FALSE)</f>
        <v>163.63636363636365</v>
      </c>
      <c r="AL93" s="44">
        <f>IF(J93="demais municípios",VLOOKUP(D93,[1]apoio_Preços_MGS!$A$6:$AN$238,39,FALSE),0)</f>
        <v>0</v>
      </c>
      <c r="AM93" s="44">
        <f>TRUNC(ROUND(($I93)/(1-($I93)),5)*VLOOKUP(D93,[1]apoio_Preços_MGS!$A$6:$AN$238,39,FALSE)+VLOOKUP(D93,[1]apoio_Preços_MGS!$A$6:$AN$238,39,FALSE),2)</f>
        <v>172.24</v>
      </c>
      <c r="AN93" s="45">
        <f t="shared" si="32"/>
        <v>2928.08</v>
      </c>
      <c r="AO93" s="44">
        <f>VLOOKUP(D93,[1]apoio_Preços_MGS!$A$6:$AN$238,40,FALSE)</f>
        <v>651.86</v>
      </c>
      <c r="AP93" s="44">
        <f>IF(J93="demais municípios",VLOOKUP(D93,[1]apoio_Preços_MGS!$A$6:$AN$238,40,FALSE),0)</f>
        <v>0</v>
      </c>
      <c r="AQ93" s="44">
        <f>TRUNC(ROUND(($I93)/(1-($I93)),5)*VLOOKUP(D93,[1]apoio_Preços_MGS!$A$6:$AN$238,40,FALSE)+VLOOKUP(D93,[1]apoio_Preços_MGS!$A$6:$AN$238,40,FALSE),2)</f>
        <v>686.16</v>
      </c>
      <c r="AR93" s="45">
        <f t="shared" si="33"/>
        <v>11664.72</v>
      </c>
      <c r="AS93" s="45">
        <f t="shared" si="34"/>
        <v>14592.8</v>
      </c>
      <c r="AT93" s="45">
        <f t="shared" si="35"/>
        <v>875568</v>
      </c>
      <c r="AU93" s="62"/>
      <c r="AV93" s="46"/>
      <c r="AW93" s="47"/>
      <c r="AX93" s="48"/>
      <c r="AY93" s="49"/>
      <c r="BA93" s="48"/>
    </row>
    <row r="94" spans="1:53" ht="19.5" customHeight="1" x14ac:dyDescent="0.25">
      <c r="A94" s="33" t="str">
        <f t="shared" si="30"/>
        <v>63762360,05</v>
      </c>
      <c r="B94" s="33" t="str">
        <f t="shared" si="31"/>
        <v>220,05</v>
      </c>
      <c r="C94" s="34" t="str">
        <f>VLOOKUP(D94,[1]apoio_Preços_MGS!$A$6:$B$238,2,FALSE)</f>
        <v>ASCENSORISTA</v>
      </c>
      <c r="D94" s="35">
        <v>22</v>
      </c>
      <c r="E94" s="33" t="str">
        <f>VLOOKUP(D94,[1]apoio_Preços_MGS!$A$6:$F$238,6,FALSE)</f>
        <v>ASCENSORISTA (0H ÀS 6H) - ESCALA NOTURNA - 36H</v>
      </c>
      <c r="F94" s="36">
        <f>IFERROR(VLOOKUP(D94,'[1]apoio_cód catmas'!$B$2:$C$863,2,FALSE),0)</f>
        <v>63762</v>
      </c>
      <c r="G94" s="33" t="str">
        <f>IF(H94="N/A",VLOOKUP(F94&amp;40,'[1]apoio_cód catmas'!$A$1:$G$233,4,FALSE),VLOOKUP(F94&amp;H94,'[1]apoio_cód catmas'!$A$1:$G$233,4,FALSE))</f>
        <v>ASCENSORISTA - NOTURNO (0H AS 6H) - 36H</v>
      </c>
      <c r="H94" s="36">
        <v>36</v>
      </c>
      <c r="I94" s="37">
        <v>0.05</v>
      </c>
      <c r="J94" s="38" t="s">
        <v>47</v>
      </c>
      <c r="K94" s="39">
        <v>4</v>
      </c>
      <c r="L94" s="39">
        <f t="shared" si="42"/>
        <v>240</v>
      </c>
      <c r="M94" s="40">
        <f>VLOOKUP(D94,[1]apoio_Preços_MGS!$A$6:$AN$238,18,FALSE)</f>
        <v>2009.4917666666661</v>
      </c>
      <c r="N94" s="40">
        <f>VLOOKUP(D94,[1]apoio_Preços_MGS!$A$6:$AN$238,19,FALSE)</f>
        <v>0</v>
      </c>
      <c r="O94" s="40">
        <f>VLOOKUP(D94,[1]apoio_Preços_MGS!$A$6:$AN$238,20,FALSE)</f>
        <v>666.41387086638611</v>
      </c>
      <c r="P94" s="40">
        <f>VLOOKUP(D94,[1]apoio_Preços_MGS!$A$6:$AN$238,21,FALSE)</f>
        <v>10.18275416843845</v>
      </c>
      <c r="Q94" s="40">
        <f>VLOOKUP(D94,[1]apoio_Preços_MGS!$A$6:$AN$238,22,FALSE)</f>
        <v>54.550452394351076</v>
      </c>
      <c r="R94" s="40">
        <f>VLOOKUP(D94,[1]apoio_Preços_MGS!$A$6:$AN$238,23,FALSE)</f>
        <v>0</v>
      </c>
      <c r="S94" s="40">
        <f>VLOOKUP(D94,[1]apoio_Preços_MGS!$A$6:$AN$238,24,FALSE)</f>
        <v>90.706225578703666</v>
      </c>
      <c r="T94" s="40">
        <f>VLOOKUP(D94,[1]apoio_Preços_MGS!$A$6:$AN$238,25,FALSE)</f>
        <v>0</v>
      </c>
      <c r="U94" s="40">
        <f t="shared" si="43"/>
        <v>2831.3450696745449</v>
      </c>
      <c r="V94" s="41">
        <f>VLOOKUP(D94,[1]apoio_Preços_MGS!$A$6:$AN$238,27,FALSE)</f>
        <v>0.81799999999999995</v>
      </c>
      <c r="W94" s="40">
        <f t="shared" si="44"/>
        <v>2316.0402669937775</v>
      </c>
      <c r="X94" s="40">
        <f>VLOOKUP(D94,[1]apoio_Preços_MGS!$A$6:$AN$238,29,FALSE)</f>
        <v>39.767499999999998</v>
      </c>
      <c r="Y94" s="40">
        <f>VLOOKUP(D94,[1]apoio_Preços_MGS!$A$6:$AN$238,30,FALSE)</f>
        <v>0</v>
      </c>
      <c r="Z94" s="40">
        <f t="shared" si="45"/>
        <v>39.767499999999998</v>
      </c>
      <c r="AA94" s="40">
        <f>VLOOKUP(D94,[1]apoio_Preços_MGS!$A$6:$AN$238,32,FALSE)</f>
        <v>3.8582241919999984</v>
      </c>
      <c r="AB94" s="40">
        <f>VLOOKUP(D94,[1]apoio_Preços_MGS!$A$6:$AN$238,33,FALSE)</f>
        <v>291.110101010101</v>
      </c>
      <c r="AC94" s="41">
        <f>VLOOKUP(D94,[1]apoio_Preços_MGS!$A$6:$AN$238,34,FALSE)</f>
        <v>3.3204910867883783E-2</v>
      </c>
      <c r="AD94" s="40">
        <f>(U94+W94+Z94+AB94+AA94+VLOOKUP(C94,[1]apoio_Prec_Folha!$A:$S,7,FALSE))*AC94</f>
        <v>200.34850928335425</v>
      </c>
      <c r="AE94" s="42">
        <f>VLOOKUP(D94,[1]apoio_Preços_MGS!$A$6:$AN$238,36,FALSE)</f>
        <v>7.0000000000000007E-2</v>
      </c>
      <c r="AF94" s="40">
        <f>(U94+W94+Z94+AB94+AD94+AA94+VLOOKUP(C94,[1]apoio_Prec_Folha!$A:$S,7,FALSE))*AE94</f>
        <v>436.3834769807645</v>
      </c>
      <c r="AG94" s="40">
        <f t="shared" si="46"/>
        <v>6118.85</v>
      </c>
      <c r="AH94" s="43">
        <f t="shared" si="47"/>
        <v>7135.68</v>
      </c>
      <c r="AI94" s="43">
        <f t="shared" si="48"/>
        <v>28542.720000000001</v>
      </c>
      <c r="AJ94" s="43">
        <f t="shared" si="49"/>
        <v>1712563.2000000002</v>
      </c>
      <c r="AK94" s="44">
        <f>VLOOKUP(D94,[1]apoio_Preços_MGS!$A$6:$AN$238,39,FALSE)</f>
        <v>163.63636363636365</v>
      </c>
      <c r="AL94" s="44">
        <f>IF(J94="demais municípios",VLOOKUP(D94,[1]apoio_Preços_MGS!$A$6:$AN$238,39,FALSE),0)</f>
        <v>0</v>
      </c>
      <c r="AM94" s="44">
        <f>TRUNC(ROUND(($I94)/(1-($I94)),5)*VLOOKUP(D94,[1]apoio_Preços_MGS!$A$6:$AN$238,39,FALSE)+VLOOKUP(D94,[1]apoio_Preços_MGS!$A$6:$AN$238,39,FALSE),2)</f>
        <v>172.24</v>
      </c>
      <c r="AN94" s="45">
        <f t="shared" si="32"/>
        <v>688.96</v>
      </c>
      <c r="AO94" s="44">
        <f>VLOOKUP(D94,[1]apoio_Preços_MGS!$A$6:$AN$238,40,FALSE)</f>
        <v>651.86</v>
      </c>
      <c r="AP94" s="44">
        <f>IF(J94="demais municípios",VLOOKUP(D94,[1]apoio_Preços_MGS!$A$6:$AN$238,40,FALSE),0)</f>
        <v>0</v>
      </c>
      <c r="AQ94" s="44">
        <f>TRUNC(ROUND(($I94)/(1-($I94)),5)*VLOOKUP(D94,[1]apoio_Preços_MGS!$A$6:$AN$238,40,FALSE)+VLOOKUP(D94,[1]apoio_Preços_MGS!$A$6:$AN$238,40,FALSE),2)</f>
        <v>686.16</v>
      </c>
      <c r="AR94" s="45">
        <f t="shared" si="33"/>
        <v>2744.64</v>
      </c>
      <c r="AS94" s="45">
        <f t="shared" si="34"/>
        <v>3433.6</v>
      </c>
      <c r="AT94" s="45">
        <f t="shared" si="35"/>
        <v>206016</v>
      </c>
      <c r="AU94" s="62"/>
      <c r="AV94" s="46"/>
      <c r="AW94" s="47"/>
      <c r="AX94" s="48"/>
      <c r="AY94" s="49"/>
      <c r="BA94" s="48"/>
    </row>
    <row r="95" spans="1:53" ht="19.5" customHeight="1" x14ac:dyDescent="0.25">
      <c r="A95" s="33" t="str">
        <f t="shared" si="30"/>
        <v>63770360,05</v>
      </c>
      <c r="B95" s="33" t="str">
        <f t="shared" si="31"/>
        <v>240,05</v>
      </c>
      <c r="C95" s="34" t="str">
        <f>VLOOKUP(D95,[1]apoio_Preços_MGS!$A$6:$B$238,2,FALSE)</f>
        <v>ASCENSORISTA</v>
      </c>
      <c r="D95" s="35">
        <v>24</v>
      </c>
      <c r="E95" s="33" t="str">
        <f>VLOOKUP(D95,[1]apoio_Preços_MGS!$A$6:$F$238,6,FALSE)</f>
        <v>ASCENSORISTA (18H ÀS 0H) - ESCALA NOTURNA - 36H</v>
      </c>
      <c r="F95" s="36">
        <f>IFERROR(VLOOKUP(D95,'[1]apoio_cód catmas'!$B$2:$C$863,2,FALSE),0)</f>
        <v>63770</v>
      </c>
      <c r="G95" s="33" t="str">
        <f>IF(H95="N/A",VLOOKUP(F95&amp;40,'[1]apoio_cód catmas'!$A$1:$G$233,4,FALSE),VLOOKUP(F95&amp;H95,'[1]apoio_cód catmas'!$A$1:$G$233,4,FALSE))</f>
        <v>ASCENSORISTA - NOTURNO (18H AS 0H) - 36H</v>
      </c>
      <c r="H95" s="36">
        <v>36</v>
      </c>
      <c r="I95" s="37">
        <v>0.05</v>
      </c>
      <c r="J95" s="38" t="s">
        <v>47</v>
      </c>
      <c r="K95" s="39">
        <v>4</v>
      </c>
      <c r="L95" s="39">
        <f t="shared" si="42"/>
        <v>240</v>
      </c>
      <c r="M95" s="40">
        <f>VLOOKUP(D95,[1]apoio_Preços_MGS!$A$6:$AN$238,18,FALSE)</f>
        <v>2009.4917666666661</v>
      </c>
      <c r="N95" s="40">
        <f>VLOOKUP(D95,[1]apoio_Preços_MGS!$A$6:$AN$238,19,FALSE)</f>
        <v>0</v>
      </c>
      <c r="O95" s="40">
        <f>VLOOKUP(D95,[1]apoio_Preços_MGS!$A$6:$AN$238,20,FALSE)</f>
        <v>266.56554834655441</v>
      </c>
      <c r="P95" s="40">
        <f>VLOOKUP(D95,[1]apoio_Preços_MGS!$A$6:$AN$238,21,FALSE)</f>
        <v>0</v>
      </c>
      <c r="Q95" s="40">
        <f>VLOOKUP(D95,[1]apoio_Preços_MGS!$A$6:$AN$238,22,FALSE)</f>
        <v>21.820180957740426</v>
      </c>
      <c r="R95" s="40">
        <f>VLOOKUP(D95,[1]apoio_Preços_MGS!$A$6:$AN$238,23,FALSE)</f>
        <v>0</v>
      </c>
      <c r="S95" s="40">
        <f>VLOOKUP(D95,[1]apoio_Preços_MGS!$A$6:$AN$238,24,FALSE)</f>
        <v>90.706225578703666</v>
      </c>
      <c r="T95" s="40">
        <f>VLOOKUP(D95,[1]apoio_Preços_MGS!$A$6:$AN$238,25,FALSE)</f>
        <v>0</v>
      </c>
      <c r="U95" s="40">
        <f t="shared" si="43"/>
        <v>2388.5837215496645</v>
      </c>
      <c r="V95" s="41">
        <f>VLOOKUP(D95,[1]apoio_Preços_MGS!$A$6:$AN$238,27,FALSE)</f>
        <v>0.81799999999999995</v>
      </c>
      <c r="W95" s="40">
        <f t="shared" si="44"/>
        <v>1953.8614842276254</v>
      </c>
      <c r="X95" s="40">
        <f>VLOOKUP(D95,[1]apoio_Preços_MGS!$A$6:$AN$238,29,FALSE)</f>
        <v>39.767499999999998</v>
      </c>
      <c r="Y95" s="40">
        <f>VLOOKUP(D95,[1]apoio_Preços_MGS!$A$6:$AN$238,30,FALSE)</f>
        <v>0</v>
      </c>
      <c r="Z95" s="40">
        <f t="shared" si="45"/>
        <v>39.767499999999998</v>
      </c>
      <c r="AA95" s="40">
        <f>VLOOKUP(D95,[1]apoio_Preços_MGS!$A$6:$AN$238,32,FALSE)</f>
        <v>3.8582241919999984</v>
      </c>
      <c r="AB95" s="40">
        <f>VLOOKUP(D95,[1]apoio_Preços_MGS!$A$6:$AN$238,33,FALSE)</f>
        <v>291.110101010101</v>
      </c>
      <c r="AC95" s="41">
        <f>VLOOKUP(D95,[1]apoio_Preços_MGS!$A$6:$AN$238,34,FALSE)</f>
        <v>3.3204910867883783E-2</v>
      </c>
      <c r="AD95" s="40">
        <f>(U95+W95+Z95+AB95+AA95+VLOOKUP(C95,[1]apoio_Prec_Folha!$A:$S,7,FALSE))*AC95</f>
        <v>173.62054398313478</v>
      </c>
      <c r="AE95" s="42">
        <f>VLOOKUP(D95,[1]apoio_Preços_MGS!$A$6:$AN$238,36,FALSE)</f>
        <v>7.0000000000000007E-2</v>
      </c>
      <c r="AF95" s="40">
        <f>(U95+W95+Z95+AB95+AD95+AA95+VLOOKUP(C95,[1]apoio_Prec_Folha!$A:$S,7,FALSE))*AE95</f>
        <v>378.16671024737684</v>
      </c>
      <c r="AG95" s="40">
        <f t="shared" si="46"/>
        <v>5228.96</v>
      </c>
      <c r="AH95" s="43">
        <f t="shared" si="47"/>
        <v>6097.9</v>
      </c>
      <c r="AI95" s="43">
        <f t="shared" si="48"/>
        <v>24391.599999999999</v>
      </c>
      <c r="AJ95" s="43">
        <f t="shared" si="49"/>
        <v>1463496</v>
      </c>
      <c r="AK95" s="44">
        <f>VLOOKUP(D95,[1]apoio_Preços_MGS!$A$6:$AN$238,39,FALSE)</f>
        <v>163.63636363636365</v>
      </c>
      <c r="AL95" s="44">
        <f>IF(J95="demais municípios",VLOOKUP(D95,[1]apoio_Preços_MGS!$A$6:$AN$238,39,FALSE),0)</f>
        <v>0</v>
      </c>
      <c r="AM95" s="44">
        <f>TRUNC(ROUND(($I95)/(1-($I95)),5)*VLOOKUP(D95,[1]apoio_Preços_MGS!$A$6:$AN$238,39,FALSE)+VLOOKUP(D95,[1]apoio_Preços_MGS!$A$6:$AN$238,39,FALSE),2)</f>
        <v>172.24</v>
      </c>
      <c r="AN95" s="45">
        <f t="shared" si="32"/>
        <v>688.96</v>
      </c>
      <c r="AO95" s="44">
        <f>VLOOKUP(D95,[1]apoio_Preços_MGS!$A$6:$AN$238,40,FALSE)</f>
        <v>651.86</v>
      </c>
      <c r="AP95" s="44">
        <f>IF(J95="demais municípios",VLOOKUP(D95,[1]apoio_Preços_MGS!$A$6:$AN$238,40,FALSE),0)</f>
        <v>0</v>
      </c>
      <c r="AQ95" s="44">
        <f>TRUNC(ROUND(($I95)/(1-($I95)),5)*VLOOKUP(D95,[1]apoio_Preços_MGS!$A$6:$AN$238,40,FALSE)+VLOOKUP(D95,[1]apoio_Preços_MGS!$A$6:$AN$238,40,FALSE),2)</f>
        <v>686.16</v>
      </c>
      <c r="AR95" s="45">
        <f t="shared" si="33"/>
        <v>2744.64</v>
      </c>
      <c r="AS95" s="45">
        <f t="shared" si="34"/>
        <v>3433.6</v>
      </c>
      <c r="AT95" s="45">
        <f t="shared" si="35"/>
        <v>206016</v>
      </c>
      <c r="AU95" s="62"/>
      <c r="AV95" s="46"/>
      <c r="AW95" s="47"/>
      <c r="AX95" s="48"/>
      <c r="AY95" s="49"/>
      <c r="BA95" s="48"/>
    </row>
    <row r="96" spans="1:53" ht="19.5" customHeight="1" x14ac:dyDescent="0.25">
      <c r="A96" s="33" t="str">
        <f t="shared" si="30"/>
        <v>106470400,05</v>
      </c>
      <c r="B96" s="33" t="str">
        <f t="shared" si="31"/>
        <v>3740,05</v>
      </c>
      <c r="C96" s="34" t="str">
        <f>VLOOKUP(D96,[1]apoio_Preços_MGS!$A$6:$B$238,2,FALSE)</f>
        <v>ASSESSOR ESTRATÉGICO</v>
      </c>
      <c r="D96" s="35">
        <v>374</v>
      </c>
      <c r="E96" s="33" t="str">
        <f>VLOOKUP(D96,[1]apoio_Preços_MGS!$A$6:$F$238,6,FALSE)</f>
        <v>ASSESSOR ESTRATÉGICO - DIARISTA DIURNO</v>
      </c>
      <c r="F96" s="36">
        <f>IFERROR(VLOOKUP(D96,'[1]apoio_cód catmas'!$B$2:$C$863,2,FALSE),0)</f>
        <v>106470</v>
      </c>
      <c r="G96" s="33" t="str">
        <f>IF(H96="N/A",VLOOKUP(F96&amp;40,'[1]apoio_cód catmas'!$A$1:$G$233,4,FALSE),VLOOKUP(F96&amp;H96,'[1]apoio_cód catmas'!$A$1:$G$233,4,FALSE))</f>
        <v>ASSESSOR ESTRATEGICO - 30H, 36H, 40H OU 44H</v>
      </c>
      <c r="H96" s="36">
        <v>40</v>
      </c>
      <c r="I96" s="37">
        <v>0.05</v>
      </c>
      <c r="J96" s="38" t="s">
        <v>47</v>
      </c>
      <c r="K96" s="39">
        <v>1</v>
      </c>
      <c r="L96" s="39">
        <f t="shared" si="42"/>
        <v>60</v>
      </c>
      <c r="M96" s="40">
        <f>VLOOKUP(D96,[1]apoio_Preços_MGS!$A$6:$AN$238,18,FALSE)</f>
        <v>12851.646500000001</v>
      </c>
      <c r="N96" s="40">
        <f>VLOOKUP(D96,[1]apoio_Preços_MGS!$A$6:$AN$238,19,FALSE)</f>
        <v>0</v>
      </c>
      <c r="O96" s="40">
        <f>VLOOKUP(D96,[1]apoio_Preços_MGS!$A$6:$AN$238,20,FALSE)</f>
        <v>0</v>
      </c>
      <c r="P96" s="40">
        <f>VLOOKUP(D96,[1]apoio_Preços_MGS!$A$6:$AN$238,21,FALSE)</f>
        <v>0</v>
      </c>
      <c r="Q96" s="40">
        <f>VLOOKUP(D96,[1]apoio_Preços_MGS!$A$6:$AN$238,22,FALSE)</f>
        <v>0</v>
      </c>
      <c r="R96" s="40">
        <f>VLOOKUP(D96,[1]apoio_Preços_MGS!$A$6:$AN$238,23,FALSE)</f>
        <v>0</v>
      </c>
      <c r="S96" s="40">
        <f>VLOOKUP(D96,[1]apoio_Preços_MGS!$A$6:$AN$238,24,FALSE)</f>
        <v>0</v>
      </c>
      <c r="T96" s="40">
        <f>VLOOKUP(D96,[1]apoio_Preços_MGS!$A$6:$AN$238,25,FALSE)</f>
        <v>0</v>
      </c>
      <c r="U96" s="40">
        <f t="shared" si="43"/>
        <v>12851.646500000001</v>
      </c>
      <c r="V96" s="41">
        <f>VLOOKUP(D96,[1]apoio_Preços_MGS!$A$6:$AN$238,27,FALSE)</f>
        <v>0.81799999999999995</v>
      </c>
      <c r="W96" s="40">
        <f t="shared" si="44"/>
        <v>10512.646837</v>
      </c>
      <c r="X96" s="40">
        <f>VLOOKUP(D96,[1]apoio_Preços_MGS!$A$6:$AN$238,29,FALSE)</f>
        <v>0</v>
      </c>
      <c r="Y96" s="40">
        <f>VLOOKUP(D96,[1]apoio_Preços_MGS!$A$6:$AN$238,30,FALSE)</f>
        <v>0</v>
      </c>
      <c r="Z96" s="40">
        <f t="shared" si="45"/>
        <v>0</v>
      </c>
      <c r="AA96" s="40">
        <f>VLOOKUP(D96,[1]apoio_Preços_MGS!$A$6:$AN$238,32,FALSE)</f>
        <v>9.6</v>
      </c>
      <c r="AB96" s="40">
        <f>VLOOKUP(D96,[1]apoio_Preços_MGS!$A$6:$AN$238,33,FALSE)</f>
        <v>0</v>
      </c>
      <c r="AC96" s="41">
        <f>VLOOKUP(D96,[1]apoio_Preços_MGS!$A$6:$AN$238,34,FALSE)</f>
        <v>0</v>
      </c>
      <c r="AD96" s="40">
        <f>(U96+W96+Z96+AB96+AA96+VLOOKUP(C96,[1]apoio_Prec_Folha!$A:$S,7,FALSE))*AC96</f>
        <v>0</v>
      </c>
      <c r="AE96" s="42">
        <f>VLOOKUP(D96,[1]apoio_Preços_MGS!$A$6:$AN$238,36,FALSE)</f>
        <v>7.0000000000000007E-2</v>
      </c>
      <c r="AF96" s="40">
        <f>(U96+W96+Z96+AB96+AD96+AA96+VLOOKUP(C96,[1]apoio_Prec_Folha!$A:$S,7,FALSE))*AE96</f>
        <v>1674.7831335900005</v>
      </c>
      <c r="AG96" s="40">
        <f t="shared" si="46"/>
        <v>25048.67</v>
      </c>
      <c r="AH96" s="43">
        <f t="shared" si="47"/>
        <v>29211.25</v>
      </c>
      <c r="AI96" s="43">
        <f t="shared" si="48"/>
        <v>29211.25</v>
      </c>
      <c r="AJ96" s="43">
        <f t="shared" si="49"/>
        <v>1752675</v>
      </c>
      <c r="AK96" s="44">
        <f>VLOOKUP(D96,[1]apoio_Preços_MGS!$A$6:$AN$238,39,FALSE)</f>
        <v>181.81818181818184</v>
      </c>
      <c r="AL96" s="44">
        <f>IF(J96="demais municípios",VLOOKUP(D96,[1]apoio_Preços_MGS!$A$6:$AN$238,39,FALSE),0)</f>
        <v>0</v>
      </c>
      <c r="AM96" s="44">
        <f>TRUNC(ROUND(($I96)/(1-($I96)),5)*VLOOKUP(D96,[1]apoio_Preços_MGS!$A$6:$AN$238,39,FALSE)+VLOOKUP(D96,[1]apoio_Preços_MGS!$A$6:$AN$238,39,FALSE),2)</f>
        <v>191.38</v>
      </c>
      <c r="AN96" s="45">
        <f t="shared" si="32"/>
        <v>191.38</v>
      </c>
      <c r="AO96" s="44">
        <f>VLOOKUP(D96,[1]apoio_Preços_MGS!$A$6:$AN$238,40,FALSE)</f>
        <v>551.58000000000004</v>
      </c>
      <c r="AP96" s="44">
        <f>IF(J96="demais municípios",VLOOKUP(D96,[1]apoio_Preços_MGS!$A$6:$AN$238,40,FALSE),0)</f>
        <v>0</v>
      </c>
      <c r="AQ96" s="44">
        <f>TRUNC(ROUND(($I96)/(1-($I96)),5)*VLOOKUP(D96,[1]apoio_Preços_MGS!$A$6:$AN$238,40,FALSE)+VLOOKUP(D96,[1]apoio_Preços_MGS!$A$6:$AN$238,40,FALSE),2)</f>
        <v>580.6</v>
      </c>
      <c r="AR96" s="45">
        <f t="shared" si="33"/>
        <v>580.6</v>
      </c>
      <c r="AS96" s="45">
        <f t="shared" si="34"/>
        <v>771.98</v>
      </c>
      <c r="AT96" s="45">
        <f t="shared" si="35"/>
        <v>46318.8</v>
      </c>
      <c r="AU96" s="62"/>
      <c r="AV96" s="46"/>
      <c r="AW96" s="47"/>
      <c r="AX96" s="48"/>
      <c r="AY96" s="49"/>
      <c r="BA96" s="48"/>
    </row>
    <row r="97" spans="1:53" ht="19.5" customHeight="1" x14ac:dyDescent="0.25">
      <c r="A97" s="33" t="str">
        <f t="shared" si="30"/>
        <v>105481400,03</v>
      </c>
      <c r="B97" s="33" t="str">
        <f t="shared" si="31"/>
        <v>11570,03</v>
      </c>
      <c r="C97" s="34" t="str">
        <f>VLOOKUP(D97,[1]apoio_Preços_MGS!$A$6:$B$238,2,FALSE)</f>
        <v>ASSESSOR ESTRATÉGICO II</v>
      </c>
      <c r="D97" s="35">
        <v>1157</v>
      </c>
      <c r="E97" s="33" t="str">
        <f>VLOOKUP(D97,[1]apoio_Preços_MGS!$A$6:$F$238,6,FALSE)</f>
        <v>ASSESSOR ESTRATÉGICO II - DIARISTA DIURNO</v>
      </c>
      <c r="F97" s="36">
        <f>IFERROR(VLOOKUP(D97,'[1]apoio_cód catmas'!$B$2:$C$863,2,FALSE),0)</f>
        <v>105481</v>
      </c>
      <c r="G97" s="33" t="str">
        <f>IF(H97="N/A",VLOOKUP(F97&amp;40,'[1]apoio_cód catmas'!$A$1:$G$233,4,FALSE),VLOOKUP(F97&amp;H97,'[1]apoio_cód catmas'!$A$1:$G$233,4,FALSE))</f>
        <v>ASSESSOR ESTRATEGICO NIVEL II - 30H, 36H, 40H OU 44H</v>
      </c>
      <c r="H97" s="36">
        <v>40</v>
      </c>
      <c r="I97" s="37">
        <v>0.03</v>
      </c>
      <c r="J97" s="38" t="s">
        <v>46</v>
      </c>
      <c r="K97" s="39">
        <v>3</v>
      </c>
      <c r="L97" s="39">
        <f t="shared" si="42"/>
        <v>180</v>
      </c>
      <c r="M97" s="40">
        <f>VLOOKUP(D97,[1]apoio_Preços_MGS!$A$6:$AN$238,18,FALSE)</f>
        <v>14191.030425000004</v>
      </c>
      <c r="N97" s="40">
        <f>VLOOKUP(D97,[1]apoio_Preços_MGS!$A$6:$AN$238,19,FALSE)</f>
        <v>0</v>
      </c>
      <c r="O97" s="40">
        <f>VLOOKUP(D97,[1]apoio_Preços_MGS!$A$6:$AN$238,20,FALSE)</f>
        <v>0</v>
      </c>
      <c r="P97" s="40">
        <f>VLOOKUP(D97,[1]apoio_Preços_MGS!$A$6:$AN$238,21,FALSE)</f>
        <v>0</v>
      </c>
      <c r="Q97" s="40">
        <f>VLOOKUP(D97,[1]apoio_Preços_MGS!$A$6:$AN$238,22,FALSE)</f>
        <v>0</v>
      </c>
      <c r="R97" s="40">
        <f>VLOOKUP(D97,[1]apoio_Preços_MGS!$A$6:$AN$238,23,FALSE)</f>
        <v>0</v>
      </c>
      <c r="S97" s="40">
        <f>VLOOKUP(D97,[1]apoio_Preços_MGS!$A$6:$AN$238,24,FALSE)</f>
        <v>0</v>
      </c>
      <c r="T97" s="40">
        <f>VLOOKUP(D97,[1]apoio_Preços_MGS!$A$6:$AN$238,25,FALSE)</f>
        <v>0</v>
      </c>
      <c r="U97" s="40">
        <f t="shared" si="43"/>
        <v>14191.030425000004</v>
      </c>
      <c r="V97" s="41">
        <f>VLOOKUP(D97,[1]apoio_Preços_MGS!$A$6:$AN$238,27,FALSE)</f>
        <v>0.81799999999999995</v>
      </c>
      <c r="W97" s="40">
        <f t="shared" si="44"/>
        <v>11608.262887650002</v>
      </c>
      <c r="X97" s="40">
        <f>VLOOKUP(D97,[1]apoio_Preços_MGS!$A$6:$AN$238,29,FALSE)</f>
        <v>0</v>
      </c>
      <c r="Y97" s="40">
        <f>VLOOKUP(D97,[1]apoio_Preços_MGS!$A$6:$AN$238,30,FALSE)</f>
        <v>0</v>
      </c>
      <c r="Z97" s="40">
        <f t="shared" si="45"/>
        <v>0</v>
      </c>
      <c r="AA97" s="40">
        <f>VLOOKUP(D97,[1]apoio_Preços_MGS!$A$6:$AN$238,32,FALSE)</f>
        <v>9.6</v>
      </c>
      <c r="AB97" s="40">
        <f>VLOOKUP(D97,[1]apoio_Preços_MGS!$A$6:$AN$238,33,FALSE)</f>
        <v>0</v>
      </c>
      <c r="AC97" s="41">
        <f>VLOOKUP(D97,[1]apoio_Preços_MGS!$A$6:$AN$238,34,FALSE)</f>
        <v>0</v>
      </c>
      <c r="AD97" s="40">
        <f>(U97+W97+Z97+AB97+AA97+VLOOKUP(C97,[1]apoio_Prec_Folha!$A:$S,7,FALSE))*AC97</f>
        <v>0</v>
      </c>
      <c r="AE97" s="42">
        <f>VLOOKUP(D97,[1]apoio_Preços_MGS!$A$6:$AN$238,36,FALSE)</f>
        <v>7.0000000000000007E-2</v>
      </c>
      <c r="AF97" s="40">
        <f>(U97+W97+Z97+AB97+AD97+AA97+VLOOKUP(C97,[1]apoio_Prec_Folha!$A:$S,7,FALSE))*AE97</f>
        <v>1845.1432052188338</v>
      </c>
      <c r="AG97" s="40">
        <f t="shared" si="46"/>
        <v>27654.03</v>
      </c>
      <c r="AH97" s="43">
        <f t="shared" si="47"/>
        <v>31514.53</v>
      </c>
      <c r="AI97" s="43">
        <f t="shared" si="48"/>
        <v>94543.59</v>
      </c>
      <c r="AJ97" s="43">
        <f t="shared" si="49"/>
        <v>5672615.3999999994</v>
      </c>
      <c r="AK97" s="44">
        <f>VLOOKUP(D97,[1]apoio_Preços_MGS!$A$6:$AN$238,39,FALSE)</f>
        <v>181.81818181818184</v>
      </c>
      <c r="AL97" s="44">
        <f>IF(J97="demais municípios",VLOOKUP(D97,[1]apoio_Preços_MGS!$A$6:$AN$238,39,FALSE),0)</f>
        <v>181.81818181818184</v>
      </c>
      <c r="AM97" s="44">
        <v>0</v>
      </c>
      <c r="AN97" s="45">
        <f>AK97*K97</f>
        <v>545.4545454545455</v>
      </c>
      <c r="AO97" s="44">
        <f>VLOOKUP(D97,[1]apoio_Preços_MGS!$A$6:$AN$238,40,FALSE)</f>
        <v>550.29</v>
      </c>
      <c r="AP97" s="44">
        <f>IF(J97="demais municípios",VLOOKUP(D97,[1]apoio_Preços_MGS!$A$6:$AN$238,40,FALSE),0)</f>
        <v>550.29</v>
      </c>
      <c r="AQ97" s="44">
        <v>0</v>
      </c>
      <c r="AR97" s="45">
        <f>AO97*K97</f>
        <v>1650.87</v>
      </c>
      <c r="AS97" s="45">
        <f t="shared" si="34"/>
        <v>2196.3245454545454</v>
      </c>
      <c r="AT97" s="45">
        <f t="shared" si="35"/>
        <v>131779.47272727272</v>
      </c>
      <c r="AU97" s="62"/>
      <c r="AV97" s="46"/>
      <c r="AW97" s="47"/>
      <c r="AX97" s="48"/>
      <c r="AY97" s="49"/>
      <c r="BA97" s="48"/>
    </row>
    <row r="98" spans="1:53" ht="19.5" customHeight="1" x14ac:dyDescent="0.25">
      <c r="A98" s="33" t="str">
        <f t="shared" si="30"/>
        <v>105481400,05</v>
      </c>
      <c r="B98" s="33" t="str">
        <f t="shared" si="31"/>
        <v>11570,05</v>
      </c>
      <c r="C98" s="34" t="str">
        <f>VLOOKUP(D98,[1]apoio_Preços_MGS!$A$6:$B$238,2,FALSE)</f>
        <v>ASSESSOR ESTRATÉGICO II</v>
      </c>
      <c r="D98" s="35">
        <v>1157</v>
      </c>
      <c r="E98" s="33" t="str">
        <f>VLOOKUP(D98,[1]apoio_Preços_MGS!$A$6:$F$238,6,FALSE)</f>
        <v>ASSESSOR ESTRATÉGICO II - DIARISTA DIURNO</v>
      </c>
      <c r="F98" s="36">
        <f>IFERROR(VLOOKUP(D98,'[1]apoio_cód catmas'!$B$2:$C$863,2,FALSE),0)</f>
        <v>105481</v>
      </c>
      <c r="G98" s="33" t="str">
        <f>IF(H98="N/A",VLOOKUP(F98&amp;40,'[1]apoio_cód catmas'!$A$1:$G$233,4,FALSE),VLOOKUP(F98&amp;H98,'[1]apoio_cód catmas'!$A$1:$G$233,4,FALSE))</f>
        <v>ASSESSOR ESTRATEGICO NIVEL II - 30H, 36H, 40H OU 44H</v>
      </c>
      <c r="H98" s="36">
        <v>40</v>
      </c>
      <c r="I98" s="37">
        <v>0.05</v>
      </c>
      <c r="J98" s="38" t="s">
        <v>47</v>
      </c>
      <c r="K98" s="39">
        <v>236</v>
      </c>
      <c r="L98" s="39">
        <f t="shared" si="42"/>
        <v>14160</v>
      </c>
      <c r="M98" s="40">
        <f>VLOOKUP(D98,[1]apoio_Preços_MGS!$A$6:$AN$238,18,FALSE)</f>
        <v>14191.030425000004</v>
      </c>
      <c r="N98" s="40">
        <f>VLOOKUP(D98,[1]apoio_Preços_MGS!$A$6:$AN$238,19,FALSE)</f>
        <v>0</v>
      </c>
      <c r="O98" s="40">
        <f>VLOOKUP(D98,[1]apoio_Preços_MGS!$A$6:$AN$238,20,FALSE)</f>
        <v>0</v>
      </c>
      <c r="P98" s="40">
        <f>VLOOKUP(D98,[1]apoio_Preços_MGS!$A$6:$AN$238,21,FALSE)</f>
        <v>0</v>
      </c>
      <c r="Q98" s="40">
        <f>VLOOKUP(D98,[1]apoio_Preços_MGS!$A$6:$AN$238,22,FALSE)</f>
        <v>0</v>
      </c>
      <c r="R98" s="40">
        <f>VLOOKUP(D98,[1]apoio_Preços_MGS!$A$6:$AN$238,23,FALSE)</f>
        <v>0</v>
      </c>
      <c r="S98" s="40">
        <f>VLOOKUP(D98,[1]apoio_Preços_MGS!$A$6:$AN$238,24,FALSE)</f>
        <v>0</v>
      </c>
      <c r="T98" s="40">
        <f>VLOOKUP(D98,[1]apoio_Preços_MGS!$A$6:$AN$238,25,FALSE)</f>
        <v>0</v>
      </c>
      <c r="U98" s="40">
        <f t="shared" si="43"/>
        <v>14191.030425000004</v>
      </c>
      <c r="V98" s="41">
        <f>VLOOKUP(D98,[1]apoio_Preços_MGS!$A$6:$AN$238,27,FALSE)</f>
        <v>0.81799999999999995</v>
      </c>
      <c r="W98" s="40">
        <f t="shared" si="44"/>
        <v>11608.262887650002</v>
      </c>
      <c r="X98" s="40">
        <f>VLOOKUP(D98,[1]apoio_Preços_MGS!$A$6:$AN$238,29,FALSE)</f>
        <v>0</v>
      </c>
      <c r="Y98" s="40">
        <f>VLOOKUP(D98,[1]apoio_Preços_MGS!$A$6:$AN$238,30,FALSE)</f>
        <v>0</v>
      </c>
      <c r="Z98" s="40">
        <f t="shared" si="45"/>
        <v>0</v>
      </c>
      <c r="AA98" s="40">
        <f>VLOOKUP(D98,[1]apoio_Preços_MGS!$A$6:$AN$238,32,FALSE)</f>
        <v>9.6</v>
      </c>
      <c r="AB98" s="40">
        <f>VLOOKUP(D98,[1]apoio_Preços_MGS!$A$6:$AN$238,33,FALSE)</f>
        <v>0</v>
      </c>
      <c r="AC98" s="41">
        <f>VLOOKUP(D98,[1]apoio_Preços_MGS!$A$6:$AN$238,34,FALSE)</f>
        <v>0</v>
      </c>
      <c r="AD98" s="40">
        <f>(U98+W98+Z98+AB98+AA98+VLOOKUP(C98,[1]apoio_Prec_Folha!$A:$S,7,FALSE))*AC98</f>
        <v>0</v>
      </c>
      <c r="AE98" s="42">
        <f>VLOOKUP(D98,[1]apoio_Preços_MGS!$A$6:$AN$238,36,FALSE)</f>
        <v>7.0000000000000007E-2</v>
      </c>
      <c r="AF98" s="40">
        <f>(U98+W98+Z98+AB98+AD98+AA98+VLOOKUP(C98,[1]apoio_Prec_Folha!$A:$S,7,FALSE))*AE98</f>
        <v>1845.1432052188338</v>
      </c>
      <c r="AG98" s="40">
        <f t="shared" si="46"/>
        <v>27654.03</v>
      </c>
      <c r="AH98" s="43">
        <f t="shared" si="47"/>
        <v>32249.57</v>
      </c>
      <c r="AI98" s="43">
        <f t="shared" si="48"/>
        <v>7610898.5199999996</v>
      </c>
      <c r="AJ98" s="43">
        <f t="shared" si="49"/>
        <v>456653911.19999999</v>
      </c>
      <c r="AK98" s="44">
        <f>VLOOKUP(D98,[1]apoio_Preços_MGS!$A$6:$AN$238,39,FALSE)</f>
        <v>181.81818181818184</v>
      </c>
      <c r="AL98" s="44">
        <f>IF(J98="demais municípios",VLOOKUP(D98,[1]apoio_Preços_MGS!$A$6:$AN$238,39,FALSE),0)</f>
        <v>0</v>
      </c>
      <c r="AM98" s="44">
        <f>TRUNC(ROUND(($I98)/(1-($I98)),5)*VLOOKUP(D98,[1]apoio_Preços_MGS!$A$6:$AN$238,39,FALSE)+VLOOKUP(D98,[1]apoio_Preços_MGS!$A$6:$AN$238,39,FALSE),2)</f>
        <v>191.38</v>
      </c>
      <c r="AN98" s="45">
        <f t="shared" si="32"/>
        <v>45165.68</v>
      </c>
      <c r="AO98" s="44">
        <f>VLOOKUP(D98,[1]apoio_Preços_MGS!$A$6:$AN$238,40,FALSE)</f>
        <v>550.29</v>
      </c>
      <c r="AP98" s="44">
        <f>IF(J98="demais municípios",VLOOKUP(D98,[1]apoio_Preços_MGS!$A$6:$AN$238,40,FALSE),0)</f>
        <v>0</v>
      </c>
      <c r="AQ98" s="44">
        <f>TRUNC(ROUND(($I98)/(1-($I98)),5)*VLOOKUP(D98,[1]apoio_Preços_MGS!$A$6:$AN$238,40,FALSE)+VLOOKUP(D98,[1]apoio_Preços_MGS!$A$6:$AN$238,40,FALSE),2)</f>
        <v>579.25</v>
      </c>
      <c r="AR98" s="45">
        <f t="shared" si="33"/>
        <v>136703</v>
      </c>
      <c r="AS98" s="45">
        <f t="shared" si="34"/>
        <v>181868.68</v>
      </c>
      <c r="AT98" s="45">
        <f t="shared" si="35"/>
        <v>10912120.799999999</v>
      </c>
      <c r="AU98" s="62"/>
      <c r="AV98" s="46"/>
      <c r="AW98" s="47"/>
      <c r="AX98" s="48"/>
      <c r="AY98" s="49"/>
      <c r="BA98" s="48"/>
    </row>
    <row r="99" spans="1:53" ht="19.5" customHeight="1" x14ac:dyDescent="0.25">
      <c r="A99" s="33" t="str">
        <f t="shared" si="30"/>
        <v>106488400,05</v>
      </c>
      <c r="B99" s="33" t="str">
        <f t="shared" si="31"/>
        <v>3700,05</v>
      </c>
      <c r="C99" s="34" t="str">
        <f>VLOOKUP(D99,[1]apoio_Preços_MGS!$A$6:$B$238,2,FALSE)</f>
        <v>ASSESSOR ORGANIZACIONAL</v>
      </c>
      <c r="D99" s="35">
        <v>370</v>
      </c>
      <c r="E99" s="33" t="str">
        <f>VLOOKUP(D99,[1]apoio_Preços_MGS!$A$6:$F$238,6,FALSE)</f>
        <v>ASSESSOR ORGANIZACIONAL - DIARISTA DIURNO</v>
      </c>
      <c r="F99" s="36">
        <f>IFERROR(VLOOKUP(D99,'[1]apoio_cód catmas'!$B$2:$C$863,2,FALSE),0)</f>
        <v>106488</v>
      </c>
      <c r="G99" s="33" t="str">
        <f>IF(H99="N/A",VLOOKUP(F99&amp;40,'[1]apoio_cód catmas'!$A$1:$G$233,4,FALSE),VLOOKUP(F99&amp;H99,'[1]apoio_cód catmas'!$A$1:$G$233,4,FALSE))</f>
        <v>ASSESSOR ORGANIZACIONAL - 30H, 36H, 40H OU 44H</v>
      </c>
      <c r="H99" s="36">
        <v>40</v>
      </c>
      <c r="I99" s="37">
        <v>0.05</v>
      </c>
      <c r="J99" s="38" t="s">
        <v>47</v>
      </c>
      <c r="K99" s="39">
        <v>4</v>
      </c>
      <c r="L99" s="39">
        <f t="shared" si="42"/>
        <v>240</v>
      </c>
      <c r="M99" s="40">
        <f>VLOOKUP(D99,[1]apoio_Preços_MGS!$A$6:$AN$238,18,FALSE)</f>
        <v>10817.896999999997</v>
      </c>
      <c r="N99" s="40">
        <f>VLOOKUP(D99,[1]apoio_Preços_MGS!$A$6:$AN$238,19,FALSE)</f>
        <v>0</v>
      </c>
      <c r="O99" s="40">
        <f>VLOOKUP(D99,[1]apoio_Preços_MGS!$A$6:$AN$238,20,FALSE)</f>
        <v>0</v>
      </c>
      <c r="P99" s="40">
        <f>VLOOKUP(D99,[1]apoio_Preços_MGS!$A$6:$AN$238,21,FALSE)</f>
        <v>0</v>
      </c>
      <c r="Q99" s="40">
        <f>VLOOKUP(D99,[1]apoio_Preços_MGS!$A$6:$AN$238,22,FALSE)</f>
        <v>0</v>
      </c>
      <c r="R99" s="40">
        <f>VLOOKUP(D99,[1]apoio_Preços_MGS!$A$6:$AN$238,23,FALSE)</f>
        <v>0</v>
      </c>
      <c r="S99" s="40">
        <f>VLOOKUP(D99,[1]apoio_Preços_MGS!$A$6:$AN$238,24,FALSE)</f>
        <v>0</v>
      </c>
      <c r="T99" s="40">
        <f>VLOOKUP(D99,[1]apoio_Preços_MGS!$A$6:$AN$238,25,FALSE)</f>
        <v>0</v>
      </c>
      <c r="U99" s="40">
        <f t="shared" si="43"/>
        <v>10817.896999999997</v>
      </c>
      <c r="V99" s="41">
        <f>VLOOKUP(D99,[1]apoio_Preços_MGS!$A$6:$AN$238,27,FALSE)</f>
        <v>0.81799999999999995</v>
      </c>
      <c r="W99" s="40">
        <f t="shared" si="44"/>
        <v>8849.0397459999967</v>
      </c>
      <c r="X99" s="40">
        <f>VLOOKUP(D99,[1]apoio_Preços_MGS!$A$6:$AN$238,29,FALSE)</f>
        <v>0</v>
      </c>
      <c r="Y99" s="40">
        <f>VLOOKUP(D99,[1]apoio_Preços_MGS!$A$6:$AN$238,30,FALSE)</f>
        <v>0</v>
      </c>
      <c r="Z99" s="40">
        <f t="shared" si="45"/>
        <v>0</v>
      </c>
      <c r="AA99" s="40">
        <f>VLOOKUP(D99,[1]apoio_Preços_MGS!$A$6:$AN$238,32,FALSE)</f>
        <v>9.6</v>
      </c>
      <c r="AB99" s="40">
        <f>VLOOKUP(D99,[1]apoio_Preços_MGS!$A$6:$AN$238,33,FALSE)</f>
        <v>0</v>
      </c>
      <c r="AC99" s="41">
        <f>VLOOKUP(D99,[1]apoio_Preços_MGS!$A$6:$AN$238,34,FALSE)</f>
        <v>0</v>
      </c>
      <c r="AD99" s="40">
        <f>(U99+W99+Z99+AB99+AA99+VLOOKUP(C99,[1]apoio_Prec_Folha!$A:$S,7,FALSE))*AC99</f>
        <v>0</v>
      </c>
      <c r="AE99" s="42">
        <f>VLOOKUP(D99,[1]apoio_Preços_MGS!$A$6:$AN$238,36,FALSE)</f>
        <v>7.0000000000000007E-2</v>
      </c>
      <c r="AF99" s="40">
        <f>(U99+W99+Z99+AB99+AD99+AA99+VLOOKUP(C99,[1]apoio_Prec_Folha!$A:$S,7,FALSE))*AE99</f>
        <v>1415.9681722199996</v>
      </c>
      <c r="AG99" s="40">
        <f t="shared" si="46"/>
        <v>21092.5</v>
      </c>
      <c r="AH99" s="43">
        <f t="shared" si="47"/>
        <v>24597.65</v>
      </c>
      <c r="AI99" s="43">
        <f t="shared" si="48"/>
        <v>98390.6</v>
      </c>
      <c r="AJ99" s="43">
        <f t="shared" si="49"/>
        <v>5903436</v>
      </c>
      <c r="AK99" s="44">
        <f>VLOOKUP(D99,[1]apoio_Preços_MGS!$A$6:$AN$238,39,FALSE)</f>
        <v>181.81818181818184</v>
      </c>
      <c r="AL99" s="44">
        <f>IF(J99="demais municípios",VLOOKUP(D99,[1]apoio_Preços_MGS!$A$6:$AN$238,39,FALSE),0)</f>
        <v>0</v>
      </c>
      <c r="AM99" s="44">
        <f>TRUNC(ROUND(($I99)/(1-($I99)),5)*VLOOKUP(D99,[1]apoio_Preços_MGS!$A$6:$AN$238,39,FALSE)+VLOOKUP(D99,[1]apoio_Preços_MGS!$A$6:$AN$238,39,FALSE),2)</f>
        <v>191.38</v>
      </c>
      <c r="AN99" s="45">
        <f t="shared" si="32"/>
        <v>765.52</v>
      </c>
      <c r="AO99" s="44">
        <f>VLOOKUP(D99,[1]apoio_Preços_MGS!$A$6:$AN$238,40,FALSE)</f>
        <v>551.58000000000004</v>
      </c>
      <c r="AP99" s="44">
        <f>IF(J99="demais municípios",VLOOKUP(D99,[1]apoio_Preços_MGS!$A$6:$AN$238,40,FALSE),0)</f>
        <v>0</v>
      </c>
      <c r="AQ99" s="44">
        <f>TRUNC(ROUND(($I99)/(1-($I99)),5)*VLOOKUP(D99,[1]apoio_Preços_MGS!$A$6:$AN$238,40,FALSE)+VLOOKUP(D99,[1]apoio_Preços_MGS!$A$6:$AN$238,40,FALSE),2)</f>
        <v>580.6</v>
      </c>
      <c r="AR99" s="45">
        <f t="shared" si="33"/>
        <v>2322.4</v>
      </c>
      <c r="AS99" s="45">
        <f t="shared" si="34"/>
        <v>3087.92</v>
      </c>
      <c r="AT99" s="45">
        <f t="shared" si="35"/>
        <v>185275.2</v>
      </c>
      <c r="AU99" s="62"/>
      <c r="AV99" s="46"/>
      <c r="AW99" s="47"/>
      <c r="AX99" s="48"/>
      <c r="AY99" s="49"/>
      <c r="BA99" s="48"/>
    </row>
    <row r="100" spans="1:53" ht="19.5" customHeight="1" x14ac:dyDescent="0.25">
      <c r="A100" s="33" t="str">
        <f t="shared" si="30"/>
        <v>105490400,03</v>
      </c>
      <c r="B100" s="33" t="str">
        <f t="shared" si="31"/>
        <v>11580,03</v>
      </c>
      <c r="C100" s="34" t="str">
        <f>VLOOKUP(D100,[1]apoio_Preços_MGS!$A$6:$B$238,2,FALSE)</f>
        <v>ASSESSOR ORGANIZACIONAL II</v>
      </c>
      <c r="D100" s="35">
        <v>1158</v>
      </c>
      <c r="E100" s="33" t="str">
        <f>VLOOKUP(D100,[1]apoio_Preços_MGS!$A$6:$F$238,6,FALSE)</f>
        <v>ASSESSOR ORGANIZACIONAL II - DIARISTA DIURNO</v>
      </c>
      <c r="F100" s="36">
        <f>IFERROR(VLOOKUP(D100,'[1]apoio_cód catmas'!$B$2:$C$863,2,FALSE),0)</f>
        <v>105490</v>
      </c>
      <c r="G100" s="33" t="str">
        <f>IF(H100="N/A",VLOOKUP(F100&amp;40,'[1]apoio_cód catmas'!$A$1:$G$233,4,FALSE),VLOOKUP(F100&amp;H100,'[1]apoio_cód catmas'!$A$1:$G$233,4,FALSE))</f>
        <v>ASSESSOR ORGANIZACIONAL NIVEL II - 30H, 36H, 40H OU 44H</v>
      </c>
      <c r="H100" s="36">
        <v>40</v>
      </c>
      <c r="I100" s="37">
        <v>0.03</v>
      </c>
      <c r="J100" s="38" t="s">
        <v>46</v>
      </c>
      <c r="K100" s="39">
        <v>12</v>
      </c>
      <c r="L100" s="39">
        <f t="shared" si="42"/>
        <v>720</v>
      </c>
      <c r="M100" s="40">
        <f>VLOOKUP(D100,[1]apoio_Preços_MGS!$A$6:$AN$238,18,FALSE)</f>
        <v>9494.1506148119133</v>
      </c>
      <c r="N100" s="40">
        <f>VLOOKUP(D100,[1]apoio_Preços_MGS!$A$6:$AN$238,19,FALSE)</f>
        <v>0</v>
      </c>
      <c r="O100" s="40">
        <f>VLOOKUP(D100,[1]apoio_Preços_MGS!$A$6:$AN$238,20,FALSE)</f>
        <v>0</v>
      </c>
      <c r="P100" s="40">
        <f>VLOOKUP(D100,[1]apoio_Preços_MGS!$A$6:$AN$238,21,FALSE)</f>
        <v>0</v>
      </c>
      <c r="Q100" s="40">
        <f>VLOOKUP(D100,[1]apoio_Preços_MGS!$A$6:$AN$238,22,FALSE)</f>
        <v>0</v>
      </c>
      <c r="R100" s="40">
        <f>VLOOKUP(D100,[1]apoio_Preços_MGS!$A$6:$AN$238,23,FALSE)</f>
        <v>0</v>
      </c>
      <c r="S100" s="40">
        <f>VLOOKUP(D100,[1]apoio_Preços_MGS!$A$6:$AN$238,24,FALSE)</f>
        <v>0</v>
      </c>
      <c r="T100" s="40">
        <f>VLOOKUP(D100,[1]apoio_Preços_MGS!$A$6:$AN$238,25,FALSE)</f>
        <v>0</v>
      </c>
      <c r="U100" s="40">
        <f t="shared" si="43"/>
        <v>9494.1506148119133</v>
      </c>
      <c r="V100" s="41">
        <f>VLOOKUP(D100,[1]apoio_Preços_MGS!$A$6:$AN$238,27,FALSE)</f>
        <v>0.81799999999999995</v>
      </c>
      <c r="W100" s="40">
        <f t="shared" si="44"/>
        <v>7766.2152029161443</v>
      </c>
      <c r="X100" s="40">
        <f>VLOOKUP(D100,[1]apoio_Preços_MGS!$A$6:$AN$238,29,FALSE)</f>
        <v>0</v>
      </c>
      <c r="Y100" s="40">
        <f>VLOOKUP(D100,[1]apoio_Preços_MGS!$A$6:$AN$238,30,FALSE)</f>
        <v>0</v>
      </c>
      <c r="Z100" s="40">
        <f t="shared" si="45"/>
        <v>0</v>
      </c>
      <c r="AA100" s="40">
        <f>VLOOKUP(D100,[1]apoio_Preços_MGS!$A$6:$AN$238,32,FALSE)</f>
        <v>9.6</v>
      </c>
      <c r="AB100" s="40">
        <f>VLOOKUP(D100,[1]apoio_Preços_MGS!$A$6:$AN$238,33,FALSE)</f>
        <v>0</v>
      </c>
      <c r="AC100" s="41">
        <f>VLOOKUP(D100,[1]apoio_Preços_MGS!$A$6:$AN$238,34,FALSE)</f>
        <v>0</v>
      </c>
      <c r="AD100" s="40">
        <f>(U100+W100+Z100+AB100+AA100+VLOOKUP(C100,[1]apoio_Prec_Folha!$A:$S,7,FALSE))*AC100</f>
        <v>0</v>
      </c>
      <c r="AE100" s="42">
        <f>VLOOKUP(D100,[1]apoio_Preços_MGS!$A$6:$AN$238,36,FALSE)</f>
        <v>7.0000000000000007E-2</v>
      </c>
      <c r="AF100" s="40">
        <f>(U100+W100+Z100+AB100+AD100+AA100+VLOOKUP(C100,[1]apoio_Prec_Folha!$A:$S,7,FALSE))*AE100</f>
        <v>1247.5082072409643</v>
      </c>
      <c r="AG100" s="40">
        <f t="shared" si="46"/>
        <v>18517.47</v>
      </c>
      <c r="AH100" s="43">
        <f t="shared" si="47"/>
        <v>21102.5</v>
      </c>
      <c r="AI100" s="43">
        <f t="shared" si="48"/>
        <v>253230</v>
      </c>
      <c r="AJ100" s="43">
        <f t="shared" si="49"/>
        <v>15193800</v>
      </c>
      <c r="AK100" s="44">
        <f>VLOOKUP(D100,[1]apoio_Preços_MGS!$A$6:$AN$238,39,FALSE)</f>
        <v>181.81818181818184</v>
      </c>
      <c r="AL100" s="44">
        <f>IF(J100="demais municípios",VLOOKUP(D100,[1]apoio_Preços_MGS!$A$6:$AN$238,39,FALSE),0)</f>
        <v>181.81818181818184</v>
      </c>
      <c r="AM100" s="44">
        <v>0</v>
      </c>
      <c r="AN100" s="45">
        <f>AK100*K100</f>
        <v>2181.818181818182</v>
      </c>
      <c r="AO100" s="44">
        <f>VLOOKUP(D100,[1]apoio_Preços_MGS!$A$6:$AN$238,40,FALSE)</f>
        <v>551.58000000000004</v>
      </c>
      <c r="AP100" s="44">
        <f>IF(J100="demais municípios",VLOOKUP(D100,[1]apoio_Preços_MGS!$A$6:$AN$238,40,FALSE),0)</f>
        <v>551.58000000000004</v>
      </c>
      <c r="AQ100" s="44">
        <v>0</v>
      </c>
      <c r="AR100" s="45">
        <f>AO100*K100</f>
        <v>6618.9600000000009</v>
      </c>
      <c r="AS100" s="45">
        <f t="shared" si="34"/>
        <v>8800.7781818181829</v>
      </c>
      <c r="AT100" s="45">
        <f t="shared" si="35"/>
        <v>528046.69090909092</v>
      </c>
      <c r="AU100" s="62"/>
      <c r="AV100" s="46"/>
      <c r="AW100" s="47"/>
      <c r="AX100" s="48"/>
      <c r="AY100" s="49"/>
      <c r="BA100" s="48"/>
    </row>
    <row r="101" spans="1:53" ht="19.5" customHeight="1" x14ac:dyDescent="0.25">
      <c r="A101" s="33" t="str">
        <f t="shared" si="30"/>
        <v>105490400,05</v>
      </c>
      <c r="B101" s="33" t="str">
        <f t="shared" si="31"/>
        <v>11580,05</v>
      </c>
      <c r="C101" s="34" t="str">
        <f>VLOOKUP(D101,[1]apoio_Preços_MGS!$A$6:$B$238,2,FALSE)</f>
        <v>ASSESSOR ORGANIZACIONAL II</v>
      </c>
      <c r="D101" s="35">
        <v>1158</v>
      </c>
      <c r="E101" s="33" t="str">
        <f>VLOOKUP(D101,[1]apoio_Preços_MGS!$A$6:$F$238,6,FALSE)</f>
        <v>ASSESSOR ORGANIZACIONAL II - DIARISTA DIURNO</v>
      </c>
      <c r="F101" s="36">
        <f>IFERROR(VLOOKUP(D101,'[1]apoio_cód catmas'!$B$2:$C$863,2,FALSE),0)</f>
        <v>105490</v>
      </c>
      <c r="G101" s="33" t="str">
        <f>IF(H101="N/A",VLOOKUP(F101&amp;40,'[1]apoio_cód catmas'!$A$1:$G$233,4,FALSE),VLOOKUP(F101&amp;H101,'[1]apoio_cód catmas'!$A$1:$G$233,4,FALSE))</f>
        <v>ASSESSOR ORGANIZACIONAL NIVEL II - 30H, 36H, 40H OU 44H</v>
      </c>
      <c r="H101" s="36">
        <v>40</v>
      </c>
      <c r="I101" s="37">
        <v>0.05</v>
      </c>
      <c r="J101" s="38" t="s">
        <v>47</v>
      </c>
      <c r="K101" s="39">
        <v>254</v>
      </c>
      <c r="L101" s="39">
        <f t="shared" si="42"/>
        <v>15240</v>
      </c>
      <c r="M101" s="40">
        <f>VLOOKUP(D101,[1]apoio_Preços_MGS!$A$6:$AN$238,18,FALSE)</f>
        <v>9494.1506148119133</v>
      </c>
      <c r="N101" s="40">
        <f>VLOOKUP(D101,[1]apoio_Preços_MGS!$A$6:$AN$238,19,FALSE)</f>
        <v>0</v>
      </c>
      <c r="O101" s="40">
        <f>VLOOKUP(D101,[1]apoio_Preços_MGS!$A$6:$AN$238,20,FALSE)</f>
        <v>0</v>
      </c>
      <c r="P101" s="40">
        <f>VLOOKUP(D101,[1]apoio_Preços_MGS!$A$6:$AN$238,21,FALSE)</f>
        <v>0</v>
      </c>
      <c r="Q101" s="40">
        <f>VLOOKUP(D101,[1]apoio_Preços_MGS!$A$6:$AN$238,22,FALSE)</f>
        <v>0</v>
      </c>
      <c r="R101" s="40">
        <f>VLOOKUP(D101,[1]apoio_Preços_MGS!$A$6:$AN$238,23,FALSE)</f>
        <v>0</v>
      </c>
      <c r="S101" s="40">
        <f>VLOOKUP(D101,[1]apoio_Preços_MGS!$A$6:$AN$238,24,FALSE)</f>
        <v>0</v>
      </c>
      <c r="T101" s="40">
        <f>VLOOKUP(D101,[1]apoio_Preços_MGS!$A$6:$AN$238,25,FALSE)</f>
        <v>0</v>
      </c>
      <c r="U101" s="40">
        <f t="shared" si="43"/>
        <v>9494.1506148119133</v>
      </c>
      <c r="V101" s="41">
        <f>VLOOKUP(D101,[1]apoio_Preços_MGS!$A$6:$AN$238,27,FALSE)</f>
        <v>0.81799999999999995</v>
      </c>
      <c r="W101" s="40">
        <f t="shared" si="44"/>
        <v>7766.2152029161443</v>
      </c>
      <c r="X101" s="40">
        <f>VLOOKUP(D101,[1]apoio_Preços_MGS!$A$6:$AN$238,29,FALSE)</f>
        <v>0</v>
      </c>
      <c r="Y101" s="40">
        <f>VLOOKUP(D101,[1]apoio_Preços_MGS!$A$6:$AN$238,30,FALSE)</f>
        <v>0</v>
      </c>
      <c r="Z101" s="40">
        <f t="shared" si="45"/>
        <v>0</v>
      </c>
      <c r="AA101" s="40">
        <f>VLOOKUP(D101,[1]apoio_Preços_MGS!$A$6:$AN$238,32,FALSE)</f>
        <v>9.6</v>
      </c>
      <c r="AB101" s="40">
        <f>VLOOKUP(D101,[1]apoio_Preços_MGS!$A$6:$AN$238,33,FALSE)</f>
        <v>0</v>
      </c>
      <c r="AC101" s="41">
        <f>VLOOKUP(D101,[1]apoio_Preços_MGS!$A$6:$AN$238,34,FALSE)</f>
        <v>0</v>
      </c>
      <c r="AD101" s="40">
        <f>(U101+W101+Z101+AB101+AA101+VLOOKUP(C101,[1]apoio_Prec_Folha!$A:$S,7,FALSE))*AC101</f>
        <v>0</v>
      </c>
      <c r="AE101" s="42">
        <f>VLOOKUP(D101,[1]apoio_Preços_MGS!$A$6:$AN$238,36,FALSE)</f>
        <v>7.0000000000000007E-2</v>
      </c>
      <c r="AF101" s="40">
        <f>(U101+W101+Z101+AB101+AD101+AA101+VLOOKUP(C101,[1]apoio_Prec_Folha!$A:$S,7,FALSE))*AE101</f>
        <v>1247.5082072409643</v>
      </c>
      <c r="AG101" s="40">
        <f t="shared" si="46"/>
        <v>18517.47</v>
      </c>
      <c r="AH101" s="43">
        <f t="shared" si="47"/>
        <v>21594.7</v>
      </c>
      <c r="AI101" s="43">
        <f t="shared" si="48"/>
        <v>5485053.7999999998</v>
      </c>
      <c r="AJ101" s="43">
        <f t="shared" si="49"/>
        <v>329103228</v>
      </c>
      <c r="AK101" s="44">
        <f>VLOOKUP(D101,[1]apoio_Preços_MGS!$A$6:$AN$238,39,FALSE)</f>
        <v>181.81818181818184</v>
      </c>
      <c r="AL101" s="44">
        <f>IF(J101="demais municípios",VLOOKUP(D101,[1]apoio_Preços_MGS!$A$6:$AN$238,39,FALSE),0)</f>
        <v>0</v>
      </c>
      <c r="AM101" s="44">
        <f>TRUNC(ROUND(($I101)/(1-($I101)),5)*VLOOKUP(D101,[1]apoio_Preços_MGS!$A$6:$AN$238,39,FALSE)+VLOOKUP(D101,[1]apoio_Preços_MGS!$A$6:$AN$238,39,FALSE),2)</f>
        <v>191.38</v>
      </c>
      <c r="AN101" s="45">
        <f t="shared" si="32"/>
        <v>48610.52</v>
      </c>
      <c r="AO101" s="44">
        <f>VLOOKUP(D101,[1]apoio_Preços_MGS!$A$6:$AN$238,40,FALSE)</f>
        <v>551.58000000000004</v>
      </c>
      <c r="AP101" s="44">
        <f>IF(J101="demais municípios",VLOOKUP(D101,[1]apoio_Preços_MGS!$A$6:$AN$238,40,FALSE),0)</f>
        <v>0</v>
      </c>
      <c r="AQ101" s="44">
        <f>TRUNC(ROUND(($I101)/(1-($I101)),5)*VLOOKUP(D101,[1]apoio_Preços_MGS!$A$6:$AN$238,40,FALSE)+VLOOKUP(D101,[1]apoio_Preços_MGS!$A$6:$AN$238,40,FALSE),2)</f>
        <v>580.6</v>
      </c>
      <c r="AR101" s="45">
        <f t="shared" si="33"/>
        <v>147472.4</v>
      </c>
      <c r="AS101" s="45">
        <f t="shared" si="34"/>
        <v>196082.91999999998</v>
      </c>
      <c r="AT101" s="45">
        <f t="shared" si="35"/>
        <v>11764975.199999999</v>
      </c>
      <c r="AU101" s="62"/>
      <c r="AV101" s="46"/>
      <c r="AW101" s="47"/>
      <c r="AX101" s="48"/>
      <c r="AY101" s="49"/>
      <c r="BA101" s="48"/>
    </row>
    <row r="102" spans="1:53" ht="19.5" customHeight="1" x14ac:dyDescent="0.25">
      <c r="A102" s="33" t="str">
        <f t="shared" si="30"/>
        <v>106496400,05</v>
      </c>
      <c r="B102" s="33" t="str">
        <f t="shared" si="31"/>
        <v>3660,05</v>
      </c>
      <c r="C102" s="34" t="str">
        <f>VLOOKUP(D102,[1]apoio_Preços_MGS!$A$6:$B$238,2,FALSE)</f>
        <v>ASSESSOR TÉCNICO</v>
      </c>
      <c r="D102" s="35">
        <v>366</v>
      </c>
      <c r="E102" s="33" t="str">
        <f>VLOOKUP(D102,[1]apoio_Preços_MGS!$A$6:$F$238,6,FALSE)</f>
        <v>ASSESSOR TÉCNICO - DIARISTA DIURNO</v>
      </c>
      <c r="F102" s="36">
        <f>IFERROR(VLOOKUP(D102,'[1]apoio_cód catmas'!$B$2:$C$863,2,FALSE),0)</f>
        <v>106496</v>
      </c>
      <c r="G102" s="33" t="str">
        <f>IF(H102="N/A",VLOOKUP(F102&amp;40,'[1]apoio_cód catmas'!$A$1:$G$233,4,FALSE),VLOOKUP(F102&amp;H102,'[1]apoio_cód catmas'!$A$1:$G$233,4,FALSE))</f>
        <v>ASSESSOR TECNICO - 30H, 36H, 40H OU 44H</v>
      </c>
      <c r="H102" s="36">
        <v>40</v>
      </c>
      <c r="I102" s="37">
        <v>0.05</v>
      </c>
      <c r="J102" s="38" t="s">
        <v>47</v>
      </c>
      <c r="K102" s="39">
        <v>20</v>
      </c>
      <c r="L102" s="39">
        <f t="shared" si="42"/>
        <v>1200</v>
      </c>
      <c r="M102" s="40">
        <f>VLOOKUP(D102,[1]apoio_Preços_MGS!$A$6:$AN$238,18,FALSE)</f>
        <v>7205.3781883840929</v>
      </c>
      <c r="N102" s="40">
        <f>VLOOKUP(D102,[1]apoio_Preços_MGS!$A$6:$AN$238,19,FALSE)</f>
        <v>0</v>
      </c>
      <c r="O102" s="40">
        <f>VLOOKUP(D102,[1]apoio_Preços_MGS!$A$6:$AN$238,20,FALSE)</f>
        <v>0</v>
      </c>
      <c r="P102" s="40">
        <f>VLOOKUP(D102,[1]apoio_Preços_MGS!$A$6:$AN$238,21,FALSE)</f>
        <v>0</v>
      </c>
      <c r="Q102" s="40">
        <f>VLOOKUP(D102,[1]apoio_Preços_MGS!$A$6:$AN$238,22,FALSE)</f>
        <v>0</v>
      </c>
      <c r="R102" s="40">
        <f>VLOOKUP(D102,[1]apoio_Preços_MGS!$A$6:$AN$238,23,FALSE)</f>
        <v>0</v>
      </c>
      <c r="S102" s="40">
        <f>VLOOKUP(D102,[1]apoio_Preços_MGS!$A$6:$AN$238,24,FALSE)</f>
        <v>0</v>
      </c>
      <c r="T102" s="40">
        <f>VLOOKUP(D102,[1]apoio_Preços_MGS!$A$6:$AN$238,25,FALSE)</f>
        <v>0</v>
      </c>
      <c r="U102" s="40">
        <f t="shared" si="43"/>
        <v>7205.3781883840929</v>
      </c>
      <c r="V102" s="41">
        <f>VLOOKUP(D102,[1]apoio_Preços_MGS!$A$6:$AN$238,27,FALSE)</f>
        <v>0.81799999999999995</v>
      </c>
      <c r="W102" s="40">
        <f t="shared" si="44"/>
        <v>5893.9993580981873</v>
      </c>
      <c r="X102" s="40">
        <f>VLOOKUP(D102,[1]apoio_Preços_MGS!$A$6:$AN$238,29,FALSE)</f>
        <v>0</v>
      </c>
      <c r="Y102" s="40">
        <f>VLOOKUP(D102,[1]apoio_Preços_MGS!$A$6:$AN$238,30,FALSE)</f>
        <v>0</v>
      </c>
      <c r="Z102" s="40">
        <f t="shared" si="45"/>
        <v>0</v>
      </c>
      <c r="AA102" s="40">
        <f>VLOOKUP(D102,[1]apoio_Preços_MGS!$A$6:$AN$238,32,FALSE)</f>
        <v>9.6</v>
      </c>
      <c r="AB102" s="40">
        <f>VLOOKUP(D102,[1]apoio_Preços_MGS!$A$6:$AN$238,33,FALSE)</f>
        <v>14.875206611570242</v>
      </c>
      <c r="AC102" s="41">
        <f>VLOOKUP(D102,[1]apoio_Preços_MGS!$A$6:$AN$238,34,FALSE)</f>
        <v>0</v>
      </c>
      <c r="AD102" s="40">
        <f>(U102+W102+Z102+AB102+AA102+VLOOKUP(C102,[1]apoio_Prec_Folha!$A:$S,7,FALSE))*AC102</f>
        <v>0</v>
      </c>
      <c r="AE102" s="42">
        <f>VLOOKUP(D102,[1]apoio_Preços_MGS!$A$6:$AN$238,36,FALSE)</f>
        <v>7.0000000000000007E-2</v>
      </c>
      <c r="AF102" s="40">
        <f>(U102+W102+Z102+AB102+AD102+AA102+VLOOKUP(C102,[1]apoio_Prec_Folha!$A:$S,7,FALSE))*AE102</f>
        <v>957.20357908020594</v>
      </c>
      <c r="AG102" s="40">
        <f t="shared" si="46"/>
        <v>14081.05</v>
      </c>
      <c r="AH102" s="43">
        <f t="shared" si="47"/>
        <v>16421.03</v>
      </c>
      <c r="AI102" s="43">
        <f t="shared" si="48"/>
        <v>328420.59999999998</v>
      </c>
      <c r="AJ102" s="43">
        <f t="shared" si="49"/>
        <v>19705236</v>
      </c>
      <c r="AK102" s="44">
        <f>VLOOKUP(D102,[1]apoio_Preços_MGS!$A$6:$AN$238,39,FALSE)</f>
        <v>181.81818181818184</v>
      </c>
      <c r="AL102" s="44">
        <f>IF(J102="demais municípios",VLOOKUP(D102,[1]apoio_Preços_MGS!$A$6:$AN$238,39,FALSE),0)</f>
        <v>0</v>
      </c>
      <c r="AM102" s="44">
        <f>TRUNC(ROUND(($I102)/(1-($I102)),5)*VLOOKUP(D102,[1]apoio_Preços_MGS!$A$6:$AN$238,39,FALSE)+VLOOKUP(D102,[1]apoio_Preços_MGS!$A$6:$AN$238,39,FALSE),2)</f>
        <v>191.38</v>
      </c>
      <c r="AN102" s="45">
        <f t="shared" si="32"/>
        <v>3827.6</v>
      </c>
      <c r="AO102" s="44">
        <f>VLOOKUP(D102,[1]apoio_Preços_MGS!$A$6:$AN$238,40,FALSE)</f>
        <v>550.48</v>
      </c>
      <c r="AP102" s="44">
        <f>IF(J102="demais municípios",VLOOKUP(D102,[1]apoio_Preços_MGS!$A$6:$AN$238,40,FALSE),0)</f>
        <v>0</v>
      </c>
      <c r="AQ102" s="44">
        <f>TRUNC(ROUND(($I102)/(1-($I102)),5)*VLOOKUP(D102,[1]apoio_Preços_MGS!$A$6:$AN$238,40,FALSE)+VLOOKUP(D102,[1]apoio_Preços_MGS!$A$6:$AN$238,40,FALSE),2)</f>
        <v>579.45000000000005</v>
      </c>
      <c r="AR102" s="45">
        <f t="shared" si="33"/>
        <v>11589</v>
      </c>
      <c r="AS102" s="45">
        <f t="shared" si="34"/>
        <v>15416.6</v>
      </c>
      <c r="AT102" s="45">
        <f t="shared" si="35"/>
        <v>924996</v>
      </c>
      <c r="AU102" s="62"/>
      <c r="AV102" s="46"/>
      <c r="AW102" s="47"/>
      <c r="AX102" s="48"/>
      <c r="AY102" s="49"/>
      <c r="BA102" s="48"/>
    </row>
    <row r="103" spans="1:53" ht="19.5" customHeight="1" x14ac:dyDescent="0.25">
      <c r="A103" s="33" t="str">
        <f t="shared" si="30"/>
        <v>105589400,02</v>
      </c>
      <c r="B103" s="33" t="str">
        <f t="shared" si="31"/>
        <v>11590,02</v>
      </c>
      <c r="C103" s="34" t="str">
        <f>VLOOKUP(D103,[1]apoio_Preços_MGS!$A$6:$B$238,2,FALSE)</f>
        <v>ASSESSOR TÉCNICO II</v>
      </c>
      <c r="D103" s="35">
        <v>1159</v>
      </c>
      <c r="E103" s="33" t="str">
        <f>VLOOKUP(D103,[1]apoio_Preços_MGS!$A$6:$F$238,6,FALSE)</f>
        <v>ASSESSOR TÉCNICO II - DIARISTA DIURNO</v>
      </c>
      <c r="F103" s="36">
        <f>IFERROR(VLOOKUP(D103,'[1]apoio_cód catmas'!$B$2:$C$863,2,FALSE),0)</f>
        <v>105589</v>
      </c>
      <c r="G103" s="33" t="str">
        <f>IF(H103="N/A",VLOOKUP(F103&amp;40,'[1]apoio_cód catmas'!$A$1:$G$233,4,FALSE),VLOOKUP(F103&amp;H103,'[1]apoio_cód catmas'!$A$1:$G$233,4,FALSE))</f>
        <v>ASSESSOR TECNICO NIVEL II - 30H, 36H, 40H OU  44H</v>
      </c>
      <c r="H103" s="36">
        <v>40</v>
      </c>
      <c r="I103" s="37">
        <v>0.02</v>
      </c>
      <c r="J103" s="38" t="s">
        <v>46</v>
      </c>
      <c r="K103" s="39">
        <v>6</v>
      </c>
      <c r="L103" s="39">
        <f t="shared" si="42"/>
        <v>360</v>
      </c>
      <c r="M103" s="40">
        <f>VLOOKUP(D103,[1]apoio_Preços_MGS!$A$6:$AN$238,18,FALSE)</f>
        <v>6201.6076058558401</v>
      </c>
      <c r="N103" s="40">
        <f>VLOOKUP(D103,[1]apoio_Preços_MGS!$A$6:$AN$238,19,FALSE)</f>
        <v>0</v>
      </c>
      <c r="O103" s="40">
        <f>VLOOKUP(D103,[1]apoio_Preços_MGS!$A$6:$AN$238,20,FALSE)</f>
        <v>0</v>
      </c>
      <c r="P103" s="40">
        <f>VLOOKUP(D103,[1]apoio_Preços_MGS!$A$6:$AN$238,21,FALSE)</f>
        <v>0</v>
      </c>
      <c r="Q103" s="40">
        <f>VLOOKUP(D103,[1]apoio_Preços_MGS!$A$6:$AN$238,22,FALSE)</f>
        <v>0</v>
      </c>
      <c r="R103" s="40">
        <f>VLOOKUP(D103,[1]apoio_Preços_MGS!$A$6:$AN$238,23,FALSE)</f>
        <v>0</v>
      </c>
      <c r="S103" s="40">
        <f>VLOOKUP(D103,[1]apoio_Preços_MGS!$A$6:$AN$238,24,FALSE)</f>
        <v>0</v>
      </c>
      <c r="T103" s="40">
        <f>VLOOKUP(D103,[1]apoio_Preços_MGS!$A$6:$AN$238,25,FALSE)</f>
        <v>0</v>
      </c>
      <c r="U103" s="40">
        <f t="shared" si="43"/>
        <v>6201.6076058558401</v>
      </c>
      <c r="V103" s="41">
        <f>VLOOKUP(D103,[1]apoio_Preços_MGS!$A$6:$AN$238,27,FALSE)</f>
        <v>0.81799999999999995</v>
      </c>
      <c r="W103" s="40">
        <f t="shared" si="44"/>
        <v>5072.9150215900772</v>
      </c>
      <c r="X103" s="40">
        <f>VLOOKUP(D103,[1]apoio_Preços_MGS!$A$6:$AN$238,29,FALSE)</f>
        <v>0</v>
      </c>
      <c r="Y103" s="40">
        <f>VLOOKUP(D103,[1]apoio_Preços_MGS!$A$6:$AN$238,30,FALSE)</f>
        <v>0</v>
      </c>
      <c r="Z103" s="40">
        <f t="shared" si="45"/>
        <v>0</v>
      </c>
      <c r="AA103" s="40">
        <f>VLOOKUP(D103,[1]apoio_Preços_MGS!$A$6:$AN$238,32,FALSE)</f>
        <v>9.6</v>
      </c>
      <c r="AB103" s="40">
        <f>VLOOKUP(D103,[1]apoio_Preços_MGS!$A$6:$AN$238,33,FALSE)</f>
        <v>16.496445536445535</v>
      </c>
      <c r="AC103" s="41">
        <f>VLOOKUP(D103,[1]apoio_Preços_MGS!$A$6:$AN$238,34,FALSE)</f>
        <v>0</v>
      </c>
      <c r="AD103" s="40">
        <f>(U103+W103+Z103+AB103+AA103+VLOOKUP(C103,[1]apoio_Prec_Folha!$A:$S,7,FALSE))*AC103</f>
        <v>0</v>
      </c>
      <c r="AE103" s="42">
        <f>VLOOKUP(D103,[1]apoio_Preços_MGS!$A$6:$AN$238,36,FALSE)</f>
        <v>7.0000000000000007E-2</v>
      </c>
      <c r="AF103" s="40">
        <f>(U103+W103+Z103+AB103+AD103+AA103+VLOOKUP(C103,[1]apoio_Prec_Folha!$A:$S,7,FALSE))*AE103</f>
        <v>829.56902700065746</v>
      </c>
      <c r="AG103" s="40">
        <f t="shared" si="46"/>
        <v>12130.18</v>
      </c>
      <c r="AH103" s="43">
        <f t="shared" si="47"/>
        <v>13667.8</v>
      </c>
      <c r="AI103" s="43">
        <f t="shared" si="48"/>
        <v>82006.799999999988</v>
      </c>
      <c r="AJ103" s="43">
        <f t="shared" si="49"/>
        <v>4920408</v>
      </c>
      <c r="AK103" s="44">
        <f>VLOOKUP(D103,[1]apoio_Preços_MGS!$A$6:$AN$238,39,FALSE)</f>
        <v>181.81818181818184</v>
      </c>
      <c r="AL103" s="44">
        <f>IF(J103="demais municípios",VLOOKUP(D103,[1]apoio_Preços_MGS!$A$6:$AN$238,39,FALSE),0)</f>
        <v>181.81818181818184</v>
      </c>
      <c r="AM103" s="44">
        <v>0</v>
      </c>
      <c r="AN103" s="45">
        <f t="shared" ref="AN103:AN105" si="50">AK103*K103</f>
        <v>1090.909090909091</v>
      </c>
      <c r="AO103" s="44">
        <f>VLOOKUP(D103,[1]apoio_Preços_MGS!$A$6:$AN$238,40,FALSE)</f>
        <v>550.36</v>
      </c>
      <c r="AP103" s="44">
        <f>IF(J103="demais municípios",VLOOKUP(D103,[1]apoio_Preços_MGS!$A$6:$AN$238,40,FALSE),0)</f>
        <v>550.36</v>
      </c>
      <c r="AQ103" s="44">
        <v>0</v>
      </c>
      <c r="AR103" s="45">
        <f t="shared" ref="AR103:AR105" si="51">AO103*K103</f>
        <v>3302.16</v>
      </c>
      <c r="AS103" s="45">
        <f t="shared" si="34"/>
        <v>4393.0690909090908</v>
      </c>
      <c r="AT103" s="45">
        <f t="shared" si="35"/>
        <v>263584.14545454545</v>
      </c>
      <c r="AU103" s="62"/>
      <c r="AV103" s="46"/>
      <c r="AW103" s="47"/>
      <c r="AX103" s="48"/>
      <c r="AY103" s="49"/>
      <c r="BA103" s="48"/>
    </row>
    <row r="104" spans="1:53" ht="19.5" customHeight="1" x14ac:dyDescent="0.25">
      <c r="A104" s="33" t="str">
        <f t="shared" si="30"/>
        <v>105589400,03</v>
      </c>
      <c r="B104" s="33" t="str">
        <f t="shared" si="31"/>
        <v>11590,03</v>
      </c>
      <c r="C104" s="34" t="str">
        <f>VLOOKUP(D104,[1]apoio_Preços_MGS!$A$6:$B$238,2,FALSE)</f>
        <v>ASSESSOR TÉCNICO II</v>
      </c>
      <c r="D104" s="35">
        <v>1159</v>
      </c>
      <c r="E104" s="33" t="str">
        <f>VLOOKUP(D104,[1]apoio_Preços_MGS!$A$6:$F$238,6,FALSE)</f>
        <v>ASSESSOR TÉCNICO II - DIARISTA DIURNO</v>
      </c>
      <c r="F104" s="36">
        <f>IFERROR(VLOOKUP(D104,'[1]apoio_cód catmas'!$B$2:$C$863,2,FALSE),0)</f>
        <v>105589</v>
      </c>
      <c r="G104" s="33" t="str">
        <f>IF(H104="N/A",VLOOKUP(F104&amp;40,'[1]apoio_cód catmas'!$A$1:$G$233,4,FALSE),VLOOKUP(F104&amp;H104,'[1]apoio_cód catmas'!$A$1:$G$233,4,FALSE))</f>
        <v>ASSESSOR TECNICO NIVEL II - 30H, 36H, 40H OU  44H</v>
      </c>
      <c r="H104" s="36">
        <v>40</v>
      </c>
      <c r="I104" s="37">
        <v>0.03</v>
      </c>
      <c r="J104" s="38" t="s">
        <v>46</v>
      </c>
      <c r="K104" s="39">
        <v>18</v>
      </c>
      <c r="L104" s="39">
        <f t="shared" si="42"/>
        <v>1080</v>
      </c>
      <c r="M104" s="40">
        <f>VLOOKUP(D104,[1]apoio_Preços_MGS!$A$6:$AN$238,18,FALSE)</f>
        <v>6201.6076058558401</v>
      </c>
      <c r="N104" s="40">
        <f>VLOOKUP(D104,[1]apoio_Preços_MGS!$A$6:$AN$238,19,FALSE)</f>
        <v>0</v>
      </c>
      <c r="O104" s="40">
        <f>VLOOKUP(D104,[1]apoio_Preços_MGS!$A$6:$AN$238,20,FALSE)</f>
        <v>0</v>
      </c>
      <c r="P104" s="40">
        <f>VLOOKUP(D104,[1]apoio_Preços_MGS!$A$6:$AN$238,21,FALSE)</f>
        <v>0</v>
      </c>
      <c r="Q104" s="40">
        <f>VLOOKUP(D104,[1]apoio_Preços_MGS!$A$6:$AN$238,22,FALSE)</f>
        <v>0</v>
      </c>
      <c r="R104" s="40">
        <f>VLOOKUP(D104,[1]apoio_Preços_MGS!$A$6:$AN$238,23,FALSE)</f>
        <v>0</v>
      </c>
      <c r="S104" s="40">
        <f>VLOOKUP(D104,[1]apoio_Preços_MGS!$A$6:$AN$238,24,FALSE)</f>
        <v>0</v>
      </c>
      <c r="T104" s="40">
        <f>VLOOKUP(D104,[1]apoio_Preços_MGS!$A$6:$AN$238,25,FALSE)</f>
        <v>0</v>
      </c>
      <c r="U104" s="40">
        <f t="shared" si="43"/>
        <v>6201.6076058558401</v>
      </c>
      <c r="V104" s="41">
        <f>VLOOKUP(D104,[1]apoio_Preços_MGS!$A$6:$AN$238,27,FALSE)</f>
        <v>0.81799999999999995</v>
      </c>
      <c r="W104" s="40">
        <f t="shared" si="44"/>
        <v>5072.9150215900772</v>
      </c>
      <c r="X104" s="40">
        <f>VLOOKUP(D104,[1]apoio_Preços_MGS!$A$6:$AN$238,29,FALSE)</f>
        <v>0</v>
      </c>
      <c r="Y104" s="40">
        <f>VLOOKUP(D104,[1]apoio_Preços_MGS!$A$6:$AN$238,30,FALSE)</f>
        <v>0</v>
      </c>
      <c r="Z104" s="40">
        <f t="shared" si="45"/>
        <v>0</v>
      </c>
      <c r="AA104" s="40">
        <f>VLOOKUP(D104,[1]apoio_Preços_MGS!$A$6:$AN$238,32,FALSE)</f>
        <v>9.6</v>
      </c>
      <c r="AB104" s="40">
        <f>VLOOKUP(D104,[1]apoio_Preços_MGS!$A$6:$AN$238,33,FALSE)</f>
        <v>16.496445536445535</v>
      </c>
      <c r="AC104" s="41">
        <f>VLOOKUP(D104,[1]apoio_Preços_MGS!$A$6:$AN$238,34,FALSE)</f>
        <v>0</v>
      </c>
      <c r="AD104" s="40">
        <f>(U104+W104+Z104+AB104+AA104+VLOOKUP(C104,[1]apoio_Prec_Folha!$A:$S,7,FALSE))*AC104</f>
        <v>0</v>
      </c>
      <c r="AE104" s="42">
        <f>VLOOKUP(D104,[1]apoio_Preços_MGS!$A$6:$AN$238,36,FALSE)</f>
        <v>7.0000000000000007E-2</v>
      </c>
      <c r="AF104" s="40">
        <f>(U104+W104+Z104+AB104+AD104+AA104+VLOOKUP(C104,[1]apoio_Prec_Folha!$A:$S,7,FALSE))*AE104</f>
        <v>829.56902700065746</v>
      </c>
      <c r="AG104" s="40">
        <f t="shared" si="46"/>
        <v>12130.18</v>
      </c>
      <c r="AH104" s="43">
        <f t="shared" si="47"/>
        <v>13823.55</v>
      </c>
      <c r="AI104" s="43">
        <f t="shared" si="48"/>
        <v>248823.9</v>
      </c>
      <c r="AJ104" s="43">
        <f t="shared" si="49"/>
        <v>14929434</v>
      </c>
      <c r="AK104" s="44">
        <f>VLOOKUP(D104,[1]apoio_Preços_MGS!$A$6:$AN$238,39,FALSE)</f>
        <v>181.81818181818184</v>
      </c>
      <c r="AL104" s="44">
        <f>IF(J104="demais municípios",VLOOKUP(D104,[1]apoio_Preços_MGS!$A$6:$AN$238,39,FALSE),0)</f>
        <v>181.81818181818184</v>
      </c>
      <c r="AM104" s="44">
        <v>0</v>
      </c>
      <c r="AN104" s="45">
        <f t="shared" si="50"/>
        <v>3272.727272727273</v>
      </c>
      <c r="AO104" s="44">
        <f>VLOOKUP(D104,[1]apoio_Preços_MGS!$A$6:$AN$238,40,FALSE)</f>
        <v>550.36</v>
      </c>
      <c r="AP104" s="44">
        <f>IF(J104="demais municípios",VLOOKUP(D104,[1]apoio_Preços_MGS!$A$6:$AN$238,40,FALSE),0)</f>
        <v>550.36</v>
      </c>
      <c r="AQ104" s="44">
        <v>0</v>
      </c>
      <c r="AR104" s="45">
        <f t="shared" si="51"/>
        <v>9906.48</v>
      </c>
      <c r="AS104" s="45">
        <f t="shared" si="34"/>
        <v>13179.207272727272</v>
      </c>
      <c r="AT104" s="45">
        <f t="shared" si="35"/>
        <v>790752.43636363628</v>
      </c>
      <c r="AU104" s="62"/>
      <c r="AV104" s="46"/>
      <c r="AW104" s="47"/>
      <c r="AX104" s="48"/>
      <c r="AY104" s="49"/>
      <c r="BA104" s="48"/>
    </row>
    <row r="105" spans="1:53" ht="19.5" customHeight="1" x14ac:dyDescent="0.25">
      <c r="A105" s="33" t="str">
        <f t="shared" si="30"/>
        <v>105589400,05</v>
      </c>
      <c r="B105" s="33" t="str">
        <f t="shared" si="31"/>
        <v>11590,05</v>
      </c>
      <c r="C105" s="34" t="str">
        <f>VLOOKUP(D105,[1]apoio_Preços_MGS!$A$6:$B$238,2,FALSE)</f>
        <v>ASSESSOR TÉCNICO II</v>
      </c>
      <c r="D105" s="35">
        <v>1159</v>
      </c>
      <c r="E105" s="33" t="str">
        <f>VLOOKUP(D105,[1]apoio_Preços_MGS!$A$6:$F$238,6,FALSE)</f>
        <v>ASSESSOR TÉCNICO II - DIARISTA DIURNO</v>
      </c>
      <c r="F105" s="36">
        <f>IFERROR(VLOOKUP(D105,'[1]apoio_cód catmas'!$B$2:$C$863,2,FALSE),0)</f>
        <v>105589</v>
      </c>
      <c r="G105" s="33" t="str">
        <f>IF(H105="N/A",VLOOKUP(F105&amp;40,'[1]apoio_cód catmas'!$A$1:$G$233,4,FALSE),VLOOKUP(F105&amp;H105,'[1]apoio_cód catmas'!$A$1:$G$233,4,FALSE))</f>
        <v>ASSESSOR TECNICO NIVEL II - 30H, 36H, 40H OU  44H</v>
      </c>
      <c r="H105" s="36">
        <v>40</v>
      </c>
      <c r="I105" s="37">
        <v>0.05</v>
      </c>
      <c r="J105" s="38" t="s">
        <v>46</v>
      </c>
      <c r="K105" s="39">
        <f>937-K106</f>
        <v>2</v>
      </c>
      <c r="L105" s="39">
        <f t="shared" si="42"/>
        <v>120</v>
      </c>
      <c r="M105" s="40">
        <f>VLOOKUP(D105,[1]apoio_Preços_MGS!$A$6:$AN$238,18,FALSE)</f>
        <v>6201.6076058558401</v>
      </c>
      <c r="N105" s="40">
        <f>VLOOKUP(D105,[1]apoio_Preços_MGS!$A$6:$AN$238,19,FALSE)</f>
        <v>0</v>
      </c>
      <c r="O105" s="40">
        <f>VLOOKUP(D105,[1]apoio_Preços_MGS!$A$6:$AN$238,20,FALSE)</f>
        <v>0</v>
      </c>
      <c r="P105" s="40">
        <f>VLOOKUP(D105,[1]apoio_Preços_MGS!$A$6:$AN$238,21,FALSE)</f>
        <v>0</v>
      </c>
      <c r="Q105" s="40">
        <f>VLOOKUP(D105,[1]apoio_Preços_MGS!$A$6:$AN$238,22,FALSE)</f>
        <v>0</v>
      </c>
      <c r="R105" s="40">
        <f>VLOOKUP(D105,[1]apoio_Preços_MGS!$A$6:$AN$238,23,FALSE)</f>
        <v>0</v>
      </c>
      <c r="S105" s="40">
        <f>VLOOKUP(D105,[1]apoio_Preços_MGS!$A$6:$AN$238,24,FALSE)</f>
        <v>0</v>
      </c>
      <c r="T105" s="40">
        <f>VLOOKUP(D105,[1]apoio_Preços_MGS!$A$6:$AN$238,25,FALSE)</f>
        <v>0</v>
      </c>
      <c r="U105" s="40">
        <f t="shared" si="43"/>
        <v>6201.6076058558401</v>
      </c>
      <c r="V105" s="41">
        <f>VLOOKUP(D105,[1]apoio_Preços_MGS!$A$6:$AN$238,27,FALSE)</f>
        <v>0.81799999999999995</v>
      </c>
      <c r="W105" s="40">
        <f t="shared" si="44"/>
        <v>5072.9150215900772</v>
      </c>
      <c r="X105" s="40">
        <f>VLOOKUP(D105,[1]apoio_Preços_MGS!$A$6:$AN$238,29,FALSE)</f>
        <v>0</v>
      </c>
      <c r="Y105" s="40">
        <f>VLOOKUP(D105,[1]apoio_Preços_MGS!$A$6:$AN$238,30,FALSE)</f>
        <v>0</v>
      </c>
      <c r="Z105" s="40">
        <f t="shared" si="45"/>
        <v>0</v>
      </c>
      <c r="AA105" s="40">
        <f>VLOOKUP(D105,[1]apoio_Preços_MGS!$A$6:$AN$238,32,FALSE)</f>
        <v>9.6</v>
      </c>
      <c r="AB105" s="40">
        <f>VLOOKUP(D105,[1]apoio_Preços_MGS!$A$6:$AN$238,33,FALSE)</f>
        <v>16.496445536445535</v>
      </c>
      <c r="AC105" s="41">
        <f>VLOOKUP(D105,[1]apoio_Preços_MGS!$A$6:$AN$238,34,FALSE)</f>
        <v>0</v>
      </c>
      <c r="AD105" s="40">
        <f>(U105+W105+Z105+AB105+AA105+VLOOKUP(C105,[1]apoio_Prec_Folha!$A:$S,7,FALSE))*AC105</f>
        <v>0</v>
      </c>
      <c r="AE105" s="42">
        <f>VLOOKUP(D105,[1]apoio_Preços_MGS!$A$6:$AN$238,36,FALSE)</f>
        <v>7.0000000000000007E-2</v>
      </c>
      <c r="AF105" s="40">
        <f>(U105+W105+Z105+AB105+AD105+AA105+VLOOKUP(C105,[1]apoio_Prec_Folha!$A:$S,7,FALSE))*AE105</f>
        <v>829.56902700065746</v>
      </c>
      <c r="AG105" s="40">
        <f t="shared" si="46"/>
        <v>12130.18</v>
      </c>
      <c r="AH105" s="43">
        <f t="shared" si="47"/>
        <v>14145.97</v>
      </c>
      <c r="AI105" s="43">
        <f t="shared" si="48"/>
        <v>28291.94</v>
      </c>
      <c r="AJ105" s="43">
        <f t="shared" si="49"/>
        <v>1697516.4</v>
      </c>
      <c r="AK105" s="44">
        <f>VLOOKUP(D105,[1]apoio_Preços_MGS!$A$6:$AN$238,39,FALSE)</f>
        <v>181.81818181818184</v>
      </c>
      <c r="AL105" s="44">
        <f>IF(J105="demais municípios",VLOOKUP(D105,[1]apoio_Preços_MGS!$A$6:$AN$238,39,FALSE),0)</f>
        <v>181.81818181818184</v>
      </c>
      <c r="AM105" s="44">
        <v>0</v>
      </c>
      <c r="AN105" s="45">
        <f t="shared" si="50"/>
        <v>363.63636363636368</v>
      </c>
      <c r="AO105" s="44">
        <f>VLOOKUP(D105,[1]apoio_Preços_MGS!$A$6:$AN$238,40,FALSE)</f>
        <v>550.36</v>
      </c>
      <c r="AP105" s="44">
        <f>IF(J105="demais municípios",VLOOKUP(D105,[1]apoio_Preços_MGS!$A$6:$AN$238,40,FALSE),0)</f>
        <v>550.36</v>
      </c>
      <c r="AQ105" s="44">
        <v>0</v>
      </c>
      <c r="AR105" s="45">
        <f t="shared" si="51"/>
        <v>1100.72</v>
      </c>
      <c r="AS105" s="45">
        <f t="shared" si="34"/>
        <v>1464.3563636363638</v>
      </c>
      <c r="AT105" s="45">
        <f t="shared" si="35"/>
        <v>87861.381818181821</v>
      </c>
      <c r="AU105" s="62"/>
      <c r="AV105" s="46"/>
      <c r="AW105" s="47"/>
      <c r="AX105" s="48"/>
      <c r="AY105" s="49"/>
      <c r="BA105" s="48"/>
    </row>
    <row r="106" spans="1:53" ht="19.5" customHeight="1" x14ac:dyDescent="0.25">
      <c r="A106" s="33" t="str">
        <f t="shared" si="30"/>
        <v>105589400,05</v>
      </c>
      <c r="B106" s="33" t="str">
        <f t="shared" si="31"/>
        <v>11590,05</v>
      </c>
      <c r="C106" s="34" t="str">
        <f>VLOOKUP(D106,[1]apoio_Preços_MGS!$A$6:$B$238,2,FALSE)</f>
        <v>ASSESSOR TÉCNICO II</v>
      </c>
      <c r="D106" s="35">
        <v>1159</v>
      </c>
      <c r="E106" s="33" t="str">
        <f>VLOOKUP(D106,[1]apoio_Preços_MGS!$A$6:$F$238,6,FALSE)</f>
        <v>ASSESSOR TÉCNICO II - DIARISTA DIURNO</v>
      </c>
      <c r="F106" s="36">
        <f>IFERROR(VLOOKUP(D106,'[1]apoio_cód catmas'!$B$2:$C$863,2,FALSE),0)</f>
        <v>105589</v>
      </c>
      <c r="G106" s="33" t="str">
        <f>IF(H106="N/A",VLOOKUP(F106&amp;40,'[1]apoio_cód catmas'!$A$1:$G$233,4,FALSE),VLOOKUP(F106&amp;H106,'[1]apoio_cód catmas'!$A$1:$G$233,4,FALSE))</f>
        <v>ASSESSOR TECNICO NIVEL II - 30H, 36H, 40H OU  44H</v>
      </c>
      <c r="H106" s="36">
        <v>40</v>
      </c>
      <c r="I106" s="37">
        <v>0.05</v>
      </c>
      <c r="J106" s="38" t="s">
        <v>47</v>
      </c>
      <c r="K106" s="39">
        <v>935</v>
      </c>
      <c r="L106" s="39">
        <f t="shared" si="42"/>
        <v>56100</v>
      </c>
      <c r="M106" s="40">
        <f>VLOOKUP(D106,[1]apoio_Preços_MGS!$A$6:$AN$238,18,FALSE)</f>
        <v>6201.6076058558401</v>
      </c>
      <c r="N106" s="40">
        <f>VLOOKUP(D106,[1]apoio_Preços_MGS!$A$6:$AN$238,19,FALSE)</f>
        <v>0</v>
      </c>
      <c r="O106" s="40">
        <f>VLOOKUP(D106,[1]apoio_Preços_MGS!$A$6:$AN$238,20,FALSE)</f>
        <v>0</v>
      </c>
      <c r="P106" s="40">
        <f>VLOOKUP(D106,[1]apoio_Preços_MGS!$A$6:$AN$238,21,FALSE)</f>
        <v>0</v>
      </c>
      <c r="Q106" s="40">
        <f>VLOOKUP(D106,[1]apoio_Preços_MGS!$A$6:$AN$238,22,FALSE)</f>
        <v>0</v>
      </c>
      <c r="R106" s="40">
        <f>VLOOKUP(D106,[1]apoio_Preços_MGS!$A$6:$AN$238,23,FALSE)</f>
        <v>0</v>
      </c>
      <c r="S106" s="40">
        <f>VLOOKUP(D106,[1]apoio_Preços_MGS!$A$6:$AN$238,24,FALSE)</f>
        <v>0</v>
      </c>
      <c r="T106" s="40">
        <f>VLOOKUP(D106,[1]apoio_Preços_MGS!$A$6:$AN$238,25,FALSE)</f>
        <v>0</v>
      </c>
      <c r="U106" s="40">
        <f t="shared" si="43"/>
        <v>6201.6076058558401</v>
      </c>
      <c r="V106" s="41">
        <f>VLOOKUP(D106,[1]apoio_Preços_MGS!$A$6:$AN$238,27,FALSE)</f>
        <v>0.81799999999999995</v>
      </c>
      <c r="W106" s="40">
        <f t="shared" si="44"/>
        <v>5072.9150215900772</v>
      </c>
      <c r="X106" s="40">
        <f>VLOOKUP(D106,[1]apoio_Preços_MGS!$A$6:$AN$238,29,FALSE)</f>
        <v>0</v>
      </c>
      <c r="Y106" s="40">
        <f>VLOOKUP(D106,[1]apoio_Preços_MGS!$A$6:$AN$238,30,FALSE)</f>
        <v>0</v>
      </c>
      <c r="Z106" s="40">
        <f t="shared" si="45"/>
        <v>0</v>
      </c>
      <c r="AA106" s="40">
        <f>VLOOKUP(D106,[1]apoio_Preços_MGS!$A$6:$AN$238,32,FALSE)</f>
        <v>9.6</v>
      </c>
      <c r="AB106" s="40">
        <f>VLOOKUP(D106,[1]apoio_Preços_MGS!$A$6:$AN$238,33,FALSE)</f>
        <v>16.496445536445535</v>
      </c>
      <c r="AC106" s="41">
        <f>VLOOKUP(D106,[1]apoio_Preços_MGS!$A$6:$AN$238,34,FALSE)</f>
        <v>0</v>
      </c>
      <c r="AD106" s="40">
        <f>(U106+W106+Z106+AB106+AA106+VLOOKUP(C106,[1]apoio_Prec_Folha!$A:$S,7,FALSE))*AC106</f>
        <v>0</v>
      </c>
      <c r="AE106" s="42">
        <f>VLOOKUP(D106,[1]apoio_Preços_MGS!$A$6:$AN$238,36,FALSE)</f>
        <v>7.0000000000000007E-2</v>
      </c>
      <c r="AF106" s="40">
        <f>(U106+W106+Z106+AB106+AD106+AA106+VLOOKUP(C106,[1]apoio_Prec_Folha!$A:$S,7,FALSE))*AE106</f>
        <v>829.56902700065746</v>
      </c>
      <c r="AG106" s="40">
        <f t="shared" si="46"/>
        <v>12130.18</v>
      </c>
      <c r="AH106" s="43">
        <f t="shared" si="47"/>
        <v>14145.97</v>
      </c>
      <c r="AI106" s="43">
        <f t="shared" si="48"/>
        <v>13226481.949999999</v>
      </c>
      <c r="AJ106" s="43">
        <f t="shared" si="49"/>
        <v>793588917</v>
      </c>
      <c r="AK106" s="44">
        <f>VLOOKUP(D106,[1]apoio_Preços_MGS!$A$6:$AN$238,39,FALSE)</f>
        <v>181.81818181818184</v>
      </c>
      <c r="AL106" s="44">
        <f>IF(J106="demais municípios",VLOOKUP(D106,[1]apoio_Preços_MGS!$A$6:$AN$238,39,FALSE),0)</f>
        <v>0</v>
      </c>
      <c r="AM106" s="44">
        <f>TRUNC(ROUND(($I106)/(1-($I106)),5)*VLOOKUP(D106,[1]apoio_Preços_MGS!$A$6:$AN$238,39,FALSE)+VLOOKUP(D106,[1]apoio_Preços_MGS!$A$6:$AN$238,39,FALSE),2)</f>
        <v>191.38</v>
      </c>
      <c r="AN106" s="45">
        <f t="shared" si="32"/>
        <v>178940.3</v>
      </c>
      <c r="AO106" s="44">
        <f>VLOOKUP(D106,[1]apoio_Preços_MGS!$A$6:$AN$238,40,FALSE)</f>
        <v>550.36</v>
      </c>
      <c r="AP106" s="44">
        <f>IF(J106="demais municípios",VLOOKUP(D106,[1]apoio_Preços_MGS!$A$6:$AN$238,40,FALSE),0)</f>
        <v>0</v>
      </c>
      <c r="AQ106" s="44">
        <f>TRUNC(ROUND(($I106)/(1-($I106)),5)*VLOOKUP(D106,[1]apoio_Preços_MGS!$A$6:$AN$238,40,FALSE)+VLOOKUP(D106,[1]apoio_Preços_MGS!$A$6:$AN$238,40,FALSE),2)</f>
        <v>579.32000000000005</v>
      </c>
      <c r="AR106" s="45">
        <f t="shared" si="33"/>
        <v>541664.20000000007</v>
      </c>
      <c r="AS106" s="45">
        <f t="shared" si="34"/>
        <v>720604.5</v>
      </c>
      <c r="AT106" s="45">
        <f t="shared" si="35"/>
        <v>43236270</v>
      </c>
      <c r="AU106" s="62"/>
      <c r="AV106" s="46"/>
      <c r="AW106" s="47"/>
      <c r="AX106" s="48"/>
      <c r="AY106" s="49"/>
      <c r="BA106" s="48"/>
    </row>
    <row r="107" spans="1:53" ht="19.5" customHeight="1" x14ac:dyDescent="0.25">
      <c r="A107" s="33" t="str">
        <f t="shared" si="30"/>
        <v>106500400,05</v>
      </c>
      <c r="B107" s="33" t="str">
        <f t="shared" si="31"/>
        <v>3620,05</v>
      </c>
      <c r="C107" s="34" t="str">
        <f>VLOOKUP(D107,[1]apoio_Preços_MGS!$A$6:$B$238,2,FALSE)</f>
        <v>ASSISTENTE ADMINISTRATIVO</v>
      </c>
      <c r="D107" s="35">
        <v>362</v>
      </c>
      <c r="E107" s="33" t="str">
        <f>VLOOKUP(D107,[1]apoio_Preços_MGS!$A$6:$F$238,6,FALSE)</f>
        <v>ASSISTENTE ADMINISTRATIVO - DIARISTA DIURNO</v>
      </c>
      <c r="F107" s="36">
        <f>IFERROR(VLOOKUP(D107,'[1]apoio_cód catmas'!$B$2:$C$863,2,FALSE),0)</f>
        <v>106500</v>
      </c>
      <c r="G107" s="33" t="str">
        <f>IF(H107="N/A",VLOOKUP(F107&amp;40,'[1]apoio_cód catmas'!$A$1:$G$233,4,FALSE),VLOOKUP(F107&amp;H107,'[1]apoio_cód catmas'!$A$1:$G$233,4,FALSE))</f>
        <v>ASSISTENTE ADMINISTRATIVO - 30H, 36H, 40H OU 44H</v>
      </c>
      <c r="H107" s="36">
        <v>40</v>
      </c>
      <c r="I107" s="37">
        <v>0.05</v>
      </c>
      <c r="J107" s="38" t="s">
        <v>47</v>
      </c>
      <c r="K107" s="39">
        <v>6</v>
      </c>
      <c r="L107" s="39">
        <f t="shared" si="42"/>
        <v>360</v>
      </c>
      <c r="M107" s="40">
        <f>VLOOKUP(D107,[1]apoio_Preços_MGS!$A$6:$AN$238,18,FALSE)</f>
        <v>5505.5052428571425</v>
      </c>
      <c r="N107" s="40">
        <f>VLOOKUP(D107,[1]apoio_Preços_MGS!$A$6:$AN$238,19,FALSE)</f>
        <v>0</v>
      </c>
      <c r="O107" s="40">
        <f>VLOOKUP(D107,[1]apoio_Preços_MGS!$A$6:$AN$238,20,FALSE)</f>
        <v>0</v>
      </c>
      <c r="P107" s="40">
        <f>VLOOKUP(D107,[1]apoio_Preços_MGS!$A$6:$AN$238,21,FALSE)</f>
        <v>0</v>
      </c>
      <c r="Q107" s="40">
        <f>VLOOKUP(D107,[1]apoio_Preços_MGS!$A$6:$AN$238,22,FALSE)</f>
        <v>0</v>
      </c>
      <c r="R107" s="40">
        <f>VLOOKUP(D107,[1]apoio_Preços_MGS!$A$6:$AN$238,23,FALSE)</f>
        <v>0</v>
      </c>
      <c r="S107" s="40">
        <f>VLOOKUP(D107,[1]apoio_Preços_MGS!$A$6:$AN$238,24,FALSE)</f>
        <v>0</v>
      </c>
      <c r="T107" s="40">
        <f>VLOOKUP(D107,[1]apoio_Preços_MGS!$A$6:$AN$238,25,FALSE)</f>
        <v>0</v>
      </c>
      <c r="U107" s="40">
        <f t="shared" si="43"/>
        <v>5505.5052428571425</v>
      </c>
      <c r="V107" s="41">
        <f>VLOOKUP(D107,[1]apoio_Preços_MGS!$A$6:$AN$238,27,FALSE)</f>
        <v>0.81799999999999995</v>
      </c>
      <c r="W107" s="40">
        <f t="shared" si="44"/>
        <v>4503.5032886571425</v>
      </c>
      <c r="X107" s="40">
        <f>VLOOKUP(D107,[1]apoio_Preços_MGS!$A$6:$AN$238,29,FALSE)</f>
        <v>0</v>
      </c>
      <c r="Y107" s="40">
        <f>VLOOKUP(D107,[1]apoio_Preços_MGS!$A$6:$AN$238,30,FALSE)</f>
        <v>0</v>
      </c>
      <c r="Z107" s="40">
        <f t="shared" si="45"/>
        <v>0</v>
      </c>
      <c r="AA107" s="40">
        <f>VLOOKUP(D107,[1]apoio_Preços_MGS!$A$6:$AN$238,32,FALSE)</f>
        <v>9.6</v>
      </c>
      <c r="AB107" s="40">
        <f>VLOOKUP(D107,[1]apoio_Preços_MGS!$A$6:$AN$238,33,FALSE)</f>
        <v>70.349350649350654</v>
      </c>
      <c r="AC107" s="41">
        <f>VLOOKUP(D107,[1]apoio_Preços_MGS!$A$6:$AN$238,34,FALSE)</f>
        <v>0</v>
      </c>
      <c r="AD107" s="40">
        <f>(U107+W107+Z107+AB107+AA107+VLOOKUP(C107,[1]apoio_Prec_Folha!$A:$S,7,FALSE))*AC107</f>
        <v>0</v>
      </c>
      <c r="AE107" s="42">
        <f>VLOOKUP(D107,[1]apoio_Preços_MGS!$A$6:$AN$238,36,FALSE)</f>
        <v>7.0000000000000007E-2</v>
      </c>
      <c r="AF107" s="40">
        <f>(U107+W107+Z107+AB107+AD107+AA107+VLOOKUP(C107,[1]apoio_Prec_Folha!$A:$S,7,FALSE))*AE107</f>
        <v>745.24075175145458</v>
      </c>
      <c r="AG107" s="40">
        <f t="shared" si="46"/>
        <v>10834.19</v>
      </c>
      <c r="AH107" s="43">
        <f t="shared" si="47"/>
        <v>12634.61</v>
      </c>
      <c r="AI107" s="43">
        <f t="shared" si="48"/>
        <v>75807.66</v>
      </c>
      <c r="AJ107" s="43">
        <f t="shared" si="49"/>
        <v>4548459.6000000006</v>
      </c>
      <c r="AK107" s="44">
        <f>VLOOKUP(D107,[1]apoio_Preços_MGS!$A$6:$AN$238,39,FALSE)</f>
        <v>181.81818181818184</v>
      </c>
      <c r="AL107" s="44">
        <f>IF(J107="demais municípios",VLOOKUP(D107,[1]apoio_Preços_MGS!$A$6:$AN$238,39,FALSE),0)</f>
        <v>0</v>
      </c>
      <c r="AM107" s="44">
        <f>TRUNC(ROUND(($I107)/(1-($I107)),5)*VLOOKUP(D107,[1]apoio_Preços_MGS!$A$6:$AN$238,39,FALSE)+VLOOKUP(D107,[1]apoio_Preços_MGS!$A$6:$AN$238,39,FALSE),2)</f>
        <v>191.38</v>
      </c>
      <c r="AN107" s="45">
        <f t="shared" si="32"/>
        <v>1148.28</v>
      </c>
      <c r="AO107" s="44">
        <f>VLOOKUP(D107,[1]apoio_Preços_MGS!$A$6:$AN$238,40,FALSE)</f>
        <v>557.33000000000004</v>
      </c>
      <c r="AP107" s="44">
        <f>IF(J107="demais municípios",VLOOKUP(D107,[1]apoio_Preços_MGS!$A$6:$AN$238,40,FALSE),0)</f>
        <v>0</v>
      </c>
      <c r="AQ107" s="44">
        <f>TRUNC(ROUND(($I107)/(1-($I107)),5)*VLOOKUP(D107,[1]apoio_Preços_MGS!$A$6:$AN$238,40,FALSE)+VLOOKUP(D107,[1]apoio_Preços_MGS!$A$6:$AN$238,40,FALSE),2)</f>
        <v>586.66</v>
      </c>
      <c r="AR107" s="45">
        <f t="shared" si="33"/>
        <v>3519.96</v>
      </c>
      <c r="AS107" s="45">
        <f t="shared" si="34"/>
        <v>4668.24</v>
      </c>
      <c r="AT107" s="45">
        <f t="shared" si="35"/>
        <v>280094.39999999997</v>
      </c>
      <c r="AU107" s="62"/>
      <c r="AV107" s="46"/>
      <c r="AW107" s="47"/>
      <c r="AX107" s="48"/>
      <c r="AY107" s="49"/>
      <c r="BA107" s="48"/>
    </row>
    <row r="108" spans="1:53" ht="19.5" customHeight="1" x14ac:dyDescent="0.25">
      <c r="A108" s="33" t="str">
        <f t="shared" si="30"/>
        <v>105597400,02</v>
      </c>
      <c r="B108" s="33" t="str">
        <f t="shared" si="31"/>
        <v>11610,02</v>
      </c>
      <c r="C108" s="34" t="str">
        <f>VLOOKUP(D108,[1]apoio_Preços_MGS!$A$6:$B$238,2,FALSE)</f>
        <v>ASSISTENTE ADMINISTRATIVO II</v>
      </c>
      <c r="D108" s="35">
        <v>1161</v>
      </c>
      <c r="E108" s="33" t="str">
        <f>VLOOKUP(D108,[1]apoio_Preços_MGS!$A$6:$F$238,6,FALSE)</f>
        <v>ASSISTENTE ADMINISTRATIVO II - DIARISTA DIURNO</v>
      </c>
      <c r="F108" s="36">
        <f>IFERROR(VLOOKUP(D108,'[1]apoio_cód catmas'!$B$2:$C$863,2,FALSE),0)</f>
        <v>105597</v>
      </c>
      <c r="G108" s="33" t="str">
        <f>IF(H108="N/A",VLOOKUP(F108&amp;40,'[1]apoio_cód catmas'!$A$1:$G$233,4,FALSE),VLOOKUP(F108&amp;H108,'[1]apoio_cód catmas'!$A$1:$G$233,4,FALSE))</f>
        <v>ASSISTENTE ADMINISTRATIVO NIVEL II - 30H, 36H, 40H OU 44H</v>
      </c>
      <c r="H108" s="36">
        <v>40</v>
      </c>
      <c r="I108" s="37">
        <v>0.02</v>
      </c>
      <c r="J108" s="38" t="s">
        <v>46</v>
      </c>
      <c r="K108" s="39">
        <v>3</v>
      </c>
      <c r="L108" s="39">
        <f t="shared" si="42"/>
        <v>180</v>
      </c>
      <c r="M108" s="40">
        <f>VLOOKUP(D108,[1]apoio_Preços_MGS!$A$6:$AN$238,18,FALSE)</f>
        <v>4393.3870571428588</v>
      </c>
      <c r="N108" s="40">
        <f>VLOOKUP(D108,[1]apoio_Preços_MGS!$A$6:$AN$238,19,FALSE)</f>
        <v>0</v>
      </c>
      <c r="O108" s="40">
        <f>VLOOKUP(D108,[1]apoio_Preços_MGS!$A$6:$AN$238,20,FALSE)</f>
        <v>0</v>
      </c>
      <c r="P108" s="40">
        <f>VLOOKUP(D108,[1]apoio_Preços_MGS!$A$6:$AN$238,21,FALSE)</f>
        <v>0</v>
      </c>
      <c r="Q108" s="40">
        <f>VLOOKUP(D108,[1]apoio_Preços_MGS!$A$6:$AN$238,22,FALSE)</f>
        <v>0</v>
      </c>
      <c r="R108" s="40">
        <f>VLOOKUP(D108,[1]apoio_Preços_MGS!$A$6:$AN$238,23,FALSE)</f>
        <v>0</v>
      </c>
      <c r="S108" s="40">
        <f>VLOOKUP(D108,[1]apoio_Preços_MGS!$A$6:$AN$238,24,FALSE)</f>
        <v>0</v>
      </c>
      <c r="T108" s="40">
        <f>VLOOKUP(D108,[1]apoio_Preços_MGS!$A$6:$AN$238,25,FALSE)</f>
        <v>0</v>
      </c>
      <c r="U108" s="40">
        <f t="shared" si="43"/>
        <v>4393.3870571428588</v>
      </c>
      <c r="V108" s="41">
        <f>VLOOKUP(D108,[1]apoio_Preços_MGS!$A$6:$AN$238,27,FALSE)</f>
        <v>0.81799999999999995</v>
      </c>
      <c r="W108" s="40">
        <f t="shared" si="44"/>
        <v>3593.7906127428582</v>
      </c>
      <c r="X108" s="40">
        <f>VLOOKUP(D108,[1]apoio_Preços_MGS!$A$6:$AN$238,29,FALSE)</f>
        <v>0</v>
      </c>
      <c r="Y108" s="40">
        <f>VLOOKUP(D108,[1]apoio_Preços_MGS!$A$6:$AN$238,30,FALSE)</f>
        <v>0</v>
      </c>
      <c r="Z108" s="40">
        <f t="shared" si="45"/>
        <v>0</v>
      </c>
      <c r="AA108" s="40">
        <f>VLOOKUP(D108,[1]apoio_Preços_MGS!$A$6:$AN$238,32,FALSE)</f>
        <v>8.4353031497142883</v>
      </c>
      <c r="AB108" s="40">
        <f>VLOOKUP(D108,[1]apoio_Preços_MGS!$A$6:$AN$238,33,FALSE)</f>
        <v>103.59294705294708</v>
      </c>
      <c r="AC108" s="41">
        <f>VLOOKUP(D108,[1]apoio_Preços_MGS!$A$6:$AN$238,34,FALSE)</f>
        <v>0</v>
      </c>
      <c r="AD108" s="40">
        <f>(U108+W108+Z108+AB108+AA108+VLOOKUP(C108,[1]apoio_Prec_Folha!$A:$S,7,FALSE))*AC108</f>
        <v>0</v>
      </c>
      <c r="AE108" s="42">
        <f>VLOOKUP(D108,[1]apoio_Preços_MGS!$A$6:$AN$238,36,FALSE)</f>
        <v>7.0000000000000007E-2</v>
      </c>
      <c r="AF108" s="40">
        <f>(U108+W108+Z108+AB108+AD108+AA108+VLOOKUP(C108,[1]apoio_Prec_Folha!$A:$S,7,FALSE))*AE108</f>
        <v>606.02498363695588</v>
      </c>
      <c r="AG108" s="40">
        <f t="shared" si="46"/>
        <v>8705.23</v>
      </c>
      <c r="AH108" s="43">
        <f t="shared" si="47"/>
        <v>9808.7000000000007</v>
      </c>
      <c r="AI108" s="43">
        <f t="shared" si="48"/>
        <v>29426.100000000002</v>
      </c>
      <c r="AJ108" s="43">
        <f t="shared" si="49"/>
        <v>1765566.0000000002</v>
      </c>
      <c r="AK108" s="44">
        <f>VLOOKUP(D108,[1]apoio_Preços_MGS!$A$6:$AN$238,39,FALSE)</f>
        <v>181.81818181818184</v>
      </c>
      <c r="AL108" s="44">
        <f>IF(J108="demais municípios",VLOOKUP(D108,[1]apoio_Preços_MGS!$A$6:$AN$238,39,FALSE),0)</f>
        <v>181.81818181818184</v>
      </c>
      <c r="AM108" s="44">
        <v>0</v>
      </c>
      <c r="AN108" s="45">
        <f t="shared" ref="AN108:AN110" si="52">AK108*K108</f>
        <v>545.4545454545455</v>
      </c>
      <c r="AO108" s="44">
        <f>VLOOKUP(D108,[1]apoio_Preços_MGS!$A$6:$AN$238,40,FALSE)</f>
        <v>558.29</v>
      </c>
      <c r="AP108" s="44">
        <f>IF(J108="demais municípios",VLOOKUP(D108,[1]apoio_Preços_MGS!$A$6:$AN$238,40,FALSE),0)</f>
        <v>558.29</v>
      </c>
      <c r="AQ108" s="44">
        <v>0</v>
      </c>
      <c r="AR108" s="45">
        <f t="shared" ref="AR108:AR110" si="53">AO108*K108</f>
        <v>1674.87</v>
      </c>
      <c r="AS108" s="45">
        <f t="shared" si="34"/>
        <v>2220.3245454545454</v>
      </c>
      <c r="AT108" s="45">
        <f t="shared" si="35"/>
        <v>133219.47272727272</v>
      </c>
      <c r="AU108" s="62"/>
      <c r="AV108" s="46"/>
      <c r="AW108" s="47"/>
      <c r="AX108" s="48"/>
      <c r="AY108" s="49"/>
      <c r="BA108" s="48"/>
    </row>
    <row r="109" spans="1:53" ht="19.5" customHeight="1" x14ac:dyDescent="0.25">
      <c r="A109" s="33" t="str">
        <f t="shared" si="30"/>
        <v>105597400,03</v>
      </c>
      <c r="B109" s="33" t="str">
        <f t="shared" si="31"/>
        <v>11610,03</v>
      </c>
      <c r="C109" s="34" t="str">
        <f>VLOOKUP(D109,[1]apoio_Preços_MGS!$A$6:$B$238,2,FALSE)</f>
        <v>ASSISTENTE ADMINISTRATIVO II</v>
      </c>
      <c r="D109" s="35">
        <v>1161</v>
      </c>
      <c r="E109" s="33" t="str">
        <f>VLOOKUP(D109,[1]apoio_Preços_MGS!$A$6:$F$238,6,FALSE)</f>
        <v>ASSISTENTE ADMINISTRATIVO II - DIARISTA DIURNO</v>
      </c>
      <c r="F109" s="36">
        <f>IFERROR(VLOOKUP(D109,'[1]apoio_cód catmas'!$B$2:$C$863,2,FALSE),0)</f>
        <v>105597</v>
      </c>
      <c r="G109" s="33" t="str">
        <f>IF(H109="N/A",VLOOKUP(F109&amp;40,'[1]apoio_cód catmas'!$A$1:$G$233,4,FALSE),VLOOKUP(F109&amp;H109,'[1]apoio_cód catmas'!$A$1:$G$233,4,FALSE))</f>
        <v>ASSISTENTE ADMINISTRATIVO NIVEL II - 30H, 36H, 40H OU 44H</v>
      </c>
      <c r="H109" s="36">
        <v>40</v>
      </c>
      <c r="I109" s="37">
        <v>0.03</v>
      </c>
      <c r="J109" s="38" t="s">
        <v>46</v>
      </c>
      <c r="K109" s="39">
        <v>15</v>
      </c>
      <c r="L109" s="39">
        <f t="shared" si="42"/>
        <v>900</v>
      </c>
      <c r="M109" s="40">
        <f>VLOOKUP(D109,[1]apoio_Preços_MGS!$A$6:$AN$238,18,FALSE)</f>
        <v>4393.3870571428588</v>
      </c>
      <c r="N109" s="40">
        <f>VLOOKUP(D109,[1]apoio_Preços_MGS!$A$6:$AN$238,19,FALSE)</f>
        <v>0</v>
      </c>
      <c r="O109" s="40">
        <f>VLOOKUP(D109,[1]apoio_Preços_MGS!$A$6:$AN$238,20,FALSE)</f>
        <v>0</v>
      </c>
      <c r="P109" s="40">
        <f>VLOOKUP(D109,[1]apoio_Preços_MGS!$A$6:$AN$238,21,FALSE)</f>
        <v>0</v>
      </c>
      <c r="Q109" s="40">
        <f>VLOOKUP(D109,[1]apoio_Preços_MGS!$A$6:$AN$238,22,FALSE)</f>
        <v>0</v>
      </c>
      <c r="R109" s="40">
        <f>VLOOKUP(D109,[1]apoio_Preços_MGS!$A$6:$AN$238,23,FALSE)</f>
        <v>0</v>
      </c>
      <c r="S109" s="40">
        <f>VLOOKUP(D109,[1]apoio_Preços_MGS!$A$6:$AN$238,24,FALSE)</f>
        <v>0</v>
      </c>
      <c r="T109" s="40">
        <f>VLOOKUP(D109,[1]apoio_Preços_MGS!$A$6:$AN$238,25,FALSE)</f>
        <v>0</v>
      </c>
      <c r="U109" s="40">
        <f t="shared" si="43"/>
        <v>4393.3870571428588</v>
      </c>
      <c r="V109" s="41">
        <f>VLOOKUP(D109,[1]apoio_Preços_MGS!$A$6:$AN$238,27,FALSE)</f>
        <v>0.81799999999999995</v>
      </c>
      <c r="W109" s="40">
        <f t="shared" si="44"/>
        <v>3593.7906127428582</v>
      </c>
      <c r="X109" s="40">
        <f>VLOOKUP(D109,[1]apoio_Preços_MGS!$A$6:$AN$238,29,FALSE)</f>
        <v>0</v>
      </c>
      <c r="Y109" s="40">
        <f>VLOOKUP(D109,[1]apoio_Preços_MGS!$A$6:$AN$238,30,FALSE)</f>
        <v>0</v>
      </c>
      <c r="Z109" s="40">
        <f t="shared" si="45"/>
        <v>0</v>
      </c>
      <c r="AA109" s="40">
        <f>VLOOKUP(D109,[1]apoio_Preços_MGS!$A$6:$AN$238,32,FALSE)</f>
        <v>8.4353031497142883</v>
      </c>
      <c r="AB109" s="40">
        <f>VLOOKUP(D109,[1]apoio_Preços_MGS!$A$6:$AN$238,33,FALSE)</f>
        <v>103.59294705294708</v>
      </c>
      <c r="AC109" s="41">
        <f>VLOOKUP(D109,[1]apoio_Preços_MGS!$A$6:$AN$238,34,FALSE)</f>
        <v>0</v>
      </c>
      <c r="AD109" s="40">
        <f>(U109+W109+Z109+AB109+AA109+VLOOKUP(C109,[1]apoio_Prec_Folha!$A:$S,7,FALSE))*AC109</f>
        <v>0</v>
      </c>
      <c r="AE109" s="42">
        <f>VLOOKUP(D109,[1]apoio_Preços_MGS!$A$6:$AN$238,36,FALSE)</f>
        <v>7.0000000000000007E-2</v>
      </c>
      <c r="AF109" s="40">
        <f>(U109+W109+Z109+AB109+AD109+AA109+VLOOKUP(C109,[1]apoio_Prec_Folha!$A:$S,7,FALSE))*AE109</f>
        <v>606.02498363695588</v>
      </c>
      <c r="AG109" s="40">
        <f t="shared" si="46"/>
        <v>8705.23</v>
      </c>
      <c r="AH109" s="43">
        <f t="shared" si="47"/>
        <v>9920.48</v>
      </c>
      <c r="AI109" s="43">
        <f t="shared" si="48"/>
        <v>148807.19999999998</v>
      </c>
      <c r="AJ109" s="43">
        <f t="shared" si="49"/>
        <v>8928432</v>
      </c>
      <c r="AK109" s="44">
        <f>VLOOKUP(D109,[1]apoio_Preços_MGS!$A$6:$AN$238,39,FALSE)</f>
        <v>181.81818181818184</v>
      </c>
      <c r="AL109" s="44">
        <f>IF(J109="demais municípios",VLOOKUP(D109,[1]apoio_Preços_MGS!$A$6:$AN$238,39,FALSE),0)</f>
        <v>181.81818181818184</v>
      </c>
      <c r="AM109" s="44">
        <v>0</v>
      </c>
      <c r="AN109" s="45">
        <f t="shared" si="52"/>
        <v>2727.2727272727275</v>
      </c>
      <c r="AO109" s="44">
        <f>VLOOKUP(D109,[1]apoio_Preços_MGS!$A$6:$AN$238,40,FALSE)</f>
        <v>558.29</v>
      </c>
      <c r="AP109" s="44">
        <f>IF(J109="demais municípios",VLOOKUP(D109,[1]apoio_Preços_MGS!$A$6:$AN$238,40,FALSE),0)</f>
        <v>558.29</v>
      </c>
      <c r="AQ109" s="44">
        <v>0</v>
      </c>
      <c r="AR109" s="45">
        <f t="shared" si="53"/>
        <v>8374.3499999999985</v>
      </c>
      <c r="AS109" s="45">
        <f t="shared" si="34"/>
        <v>11101.622727272726</v>
      </c>
      <c r="AT109" s="45">
        <f t="shared" si="35"/>
        <v>666097.36363636353</v>
      </c>
      <c r="AU109" s="62"/>
      <c r="AV109" s="46"/>
      <c r="AW109" s="47"/>
      <c r="AX109" s="48"/>
      <c r="AY109" s="49"/>
      <c r="BA109" s="48"/>
    </row>
    <row r="110" spans="1:53" ht="19.5" customHeight="1" x14ac:dyDescent="0.25">
      <c r="A110" s="33" t="str">
        <f t="shared" si="30"/>
        <v>105597400,05</v>
      </c>
      <c r="B110" s="33" t="str">
        <f t="shared" si="31"/>
        <v>11610,05</v>
      </c>
      <c r="C110" s="34" t="str">
        <f>VLOOKUP(D110,[1]apoio_Preços_MGS!$A$6:$B$238,2,FALSE)</f>
        <v>ASSISTENTE ADMINISTRATIVO II</v>
      </c>
      <c r="D110" s="35">
        <v>1161</v>
      </c>
      <c r="E110" s="33" t="str">
        <f>VLOOKUP(D110,[1]apoio_Preços_MGS!$A$6:$F$238,6,FALSE)</f>
        <v>ASSISTENTE ADMINISTRATIVO II - DIARISTA DIURNO</v>
      </c>
      <c r="F110" s="36">
        <f>IFERROR(VLOOKUP(D110,'[1]apoio_cód catmas'!$B$2:$C$863,2,FALSE),0)</f>
        <v>105597</v>
      </c>
      <c r="G110" s="33" t="str">
        <f>IF(H110="N/A",VLOOKUP(F110&amp;40,'[1]apoio_cód catmas'!$A$1:$G$233,4,FALSE),VLOOKUP(F110&amp;H110,'[1]apoio_cód catmas'!$A$1:$G$233,4,FALSE))</f>
        <v>ASSISTENTE ADMINISTRATIVO NIVEL II - 30H, 36H, 40H OU 44H</v>
      </c>
      <c r="H110" s="36">
        <v>40</v>
      </c>
      <c r="I110" s="37">
        <v>0.05</v>
      </c>
      <c r="J110" s="38" t="s">
        <v>46</v>
      </c>
      <c r="K110" s="39">
        <f>525-K111</f>
        <v>3</v>
      </c>
      <c r="L110" s="39">
        <f t="shared" si="42"/>
        <v>180</v>
      </c>
      <c r="M110" s="40">
        <f>VLOOKUP(D110,[1]apoio_Preços_MGS!$A$6:$AN$238,18,FALSE)</f>
        <v>4393.3870571428588</v>
      </c>
      <c r="N110" s="40">
        <f>VLOOKUP(D110,[1]apoio_Preços_MGS!$A$6:$AN$238,19,FALSE)</f>
        <v>0</v>
      </c>
      <c r="O110" s="40">
        <f>VLOOKUP(D110,[1]apoio_Preços_MGS!$A$6:$AN$238,20,FALSE)</f>
        <v>0</v>
      </c>
      <c r="P110" s="40">
        <f>VLOOKUP(D110,[1]apoio_Preços_MGS!$A$6:$AN$238,21,FALSE)</f>
        <v>0</v>
      </c>
      <c r="Q110" s="40">
        <f>VLOOKUP(D110,[1]apoio_Preços_MGS!$A$6:$AN$238,22,FALSE)</f>
        <v>0</v>
      </c>
      <c r="R110" s="40">
        <f>VLOOKUP(D110,[1]apoio_Preços_MGS!$A$6:$AN$238,23,FALSE)</f>
        <v>0</v>
      </c>
      <c r="S110" s="40">
        <f>VLOOKUP(D110,[1]apoio_Preços_MGS!$A$6:$AN$238,24,FALSE)</f>
        <v>0</v>
      </c>
      <c r="T110" s="40">
        <f>VLOOKUP(D110,[1]apoio_Preços_MGS!$A$6:$AN$238,25,FALSE)</f>
        <v>0</v>
      </c>
      <c r="U110" s="40">
        <f t="shared" si="43"/>
        <v>4393.3870571428588</v>
      </c>
      <c r="V110" s="41">
        <f>VLOOKUP(D110,[1]apoio_Preços_MGS!$A$6:$AN$238,27,FALSE)</f>
        <v>0.81799999999999995</v>
      </c>
      <c r="W110" s="40">
        <f t="shared" si="44"/>
        <v>3593.7906127428582</v>
      </c>
      <c r="X110" s="40">
        <f>VLOOKUP(D110,[1]apoio_Preços_MGS!$A$6:$AN$238,29,FALSE)</f>
        <v>0</v>
      </c>
      <c r="Y110" s="40">
        <f>VLOOKUP(D110,[1]apoio_Preços_MGS!$A$6:$AN$238,30,FALSE)</f>
        <v>0</v>
      </c>
      <c r="Z110" s="40">
        <f t="shared" si="45"/>
        <v>0</v>
      </c>
      <c r="AA110" s="40">
        <f>VLOOKUP(D110,[1]apoio_Preços_MGS!$A$6:$AN$238,32,FALSE)</f>
        <v>8.4353031497142883</v>
      </c>
      <c r="AB110" s="40">
        <f>VLOOKUP(D110,[1]apoio_Preços_MGS!$A$6:$AN$238,33,FALSE)</f>
        <v>103.59294705294708</v>
      </c>
      <c r="AC110" s="41">
        <f>VLOOKUP(D110,[1]apoio_Preços_MGS!$A$6:$AN$238,34,FALSE)</f>
        <v>0</v>
      </c>
      <c r="AD110" s="40">
        <f>(U110+W110+Z110+AB110+AA110+VLOOKUP(C110,[1]apoio_Prec_Folha!$A:$S,7,FALSE))*AC110</f>
        <v>0</v>
      </c>
      <c r="AE110" s="42">
        <f>VLOOKUP(D110,[1]apoio_Preços_MGS!$A$6:$AN$238,36,FALSE)</f>
        <v>7.0000000000000007E-2</v>
      </c>
      <c r="AF110" s="40">
        <f>(U110+W110+Z110+AB110+AD110+AA110+VLOOKUP(C110,[1]apoio_Prec_Folha!$A:$S,7,FALSE))*AE110</f>
        <v>606.02498363695588</v>
      </c>
      <c r="AG110" s="40">
        <f t="shared" si="46"/>
        <v>8705.23</v>
      </c>
      <c r="AH110" s="43">
        <f t="shared" si="47"/>
        <v>10151.86</v>
      </c>
      <c r="AI110" s="43">
        <f t="shared" si="48"/>
        <v>30455.58</v>
      </c>
      <c r="AJ110" s="43">
        <f t="shared" si="49"/>
        <v>1827334.8</v>
      </c>
      <c r="AK110" s="44">
        <f>VLOOKUP(D110,[1]apoio_Preços_MGS!$A$6:$AN$238,39,FALSE)</f>
        <v>181.81818181818184</v>
      </c>
      <c r="AL110" s="44">
        <f>IF(J110="demais municípios",VLOOKUP(D110,[1]apoio_Preços_MGS!$A$6:$AN$238,39,FALSE),0)</f>
        <v>181.81818181818184</v>
      </c>
      <c r="AM110" s="44">
        <v>0</v>
      </c>
      <c r="AN110" s="45">
        <f t="shared" si="52"/>
        <v>545.4545454545455</v>
      </c>
      <c r="AO110" s="44">
        <f>VLOOKUP(D110,[1]apoio_Preços_MGS!$A$6:$AN$238,40,FALSE)</f>
        <v>558.29</v>
      </c>
      <c r="AP110" s="44">
        <f>IF(J110="demais municípios",VLOOKUP(D110,[1]apoio_Preços_MGS!$A$6:$AN$238,40,FALSE),0)</f>
        <v>558.29</v>
      </c>
      <c r="AQ110" s="44">
        <v>0</v>
      </c>
      <c r="AR110" s="45">
        <f t="shared" si="53"/>
        <v>1674.87</v>
      </c>
      <c r="AS110" s="45">
        <f t="shared" si="34"/>
        <v>2220.3245454545454</v>
      </c>
      <c r="AT110" s="45">
        <f t="shared" si="35"/>
        <v>133219.47272727272</v>
      </c>
      <c r="AU110" s="62"/>
      <c r="AV110" s="46"/>
      <c r="AW110" s="47"/>
      <c r="AX110" s="48"/>
      <c r="AY110" s="49"/>
      <c r="BA110" s="48"/>
    </row>
    <row r="111" spans="1:53" ht="19.5" customHeight="1" x14ac:dyDescent="0.25">
      <c r="A111" s="33" t="str">
        <f t="shared" si="30"/>
        <v>105597400,05</v>
      </c>
      <c r="B111" s="33" t="str">
        <f t="shared" si="31"/>
        <v>11610,05</v>
      </c>
      <c r="C111" s="34" t="str">
        <f>VLOOKUP(D111,[1]apoio_Preços_MGS!$A$6:$B$238,2,FALSE)</f>
        <v>ASSISTENTE ADMINISTRATIVO II</v>
      </c>
      <c r="D111" s="35">
        <v>1161</v>
      </c>
      <c r="E111" s="33" t="str">
        <f>VLOOKUP(D111,[1]apoio_Preços_MGS!$A$6:$F$238,6,FALSE)</f>
        <v>ASSISTENTE ADMINISTRATIVO II - DIARISTA DIURNO</v>
      </c>
      <c r="F111" s="36">
        <f>IFERROR(VLOOKUP(D111,'[1]apoio_cód catmas'!$B$2:$C$863,2,FALSE),0)</f>
        <v>105597</v>
      </c>
      <c r="G111" s="33" t="str">
        <f>IF(H111="N/A",VLOOKUP(F111&amp;40,'[1]apoio_cód catmas'!$A$1:$G$233,4,FALSE),VLOOKUP(F111&amp;H111,'[1]apoio_cód catmas'!$A$1:$G$233,4,FALSE))</f>
        <v>ASSISTENTE ADMINISTRATIVO NIVEL II - 30H, 36H, 40H OU 44H</v>
      </c>
      <c r="H111" s="36">
        <v>40</v>
      </c>
      <c r="I111" s="37">
        <v>0.05</v>
      </c>
      <c r="J111" s="38" t="s">
        <v>47</v>
      </c>
      <c r="K111" s="39">
        <v>522</v>
      </c>
      <c r="L111" s="39">
        <f t="shared" si="42"/>
        <v>31320</v>
      </c>
      <c r="M111" s="40">
        <f>VLOOKUP(D111,[1]apoio_Preços_MGS!$A$6:$AN$238,18,FALSE)</f>
        <v>4393.3870571428588</v>
      </c>
      <c r="N111" s="40">
        <f>VLOOKUP(D111,[1]apoio_Preços_MGS!$A$6:$AN$238,19,FALSE)</f>
        <v>0</v>
      </c>
      <c r="O111" s="40">
        <f>VLOOKUP(D111,[1]apoio_Preços_MGS!$A$6:$AN$238,20,FALSE)</f>
        <v>0</v>
      </c>
      <c r="P111" s="40">
        <f>VLOOKUP(D111,[1]apoio_Preços_MGS!$A$6:$AN$238,21,FALSE)</f>
        <v>0</v>
      </c>
      <c r="Q111" s="40">
        <f>VLOOKUP(D111,[1]apoio_Preços_MGS!$A$6:$AN$238,22,FALSE)</f>
        <v>0</v>
      </c>
      <c r="R111" s="40">
        <f>VLOOKUP(D111,[1]apoio_Preços_MGS!$A$6:$AN$238,23,FALSE)</f>
        <v>0</v>
      </c>
      <c r="S111" s="40">
        <f>VLOOKUP(D111,[1]apoio_Preços_MGS!$A$6:$AN$238,24,FALSE)</f>
        <v>0</v>
      </c>
      <c r="T111" s="40">
        <f>VLOOKUP(D111,[1]apoio_Preços_MGS!$A$6:$AN$238,25,FALSE)</f>
        <v>0</v>
      </c>
      <c r="U111" s="40">
        <f t="shared" si="43"/>
        <v>4393.3870571428588</v>
      </c>
      <c r="V111" s="41">
        <f>VLOOKUP(D111,[1]apoio_Preços_MGS!$A$6:$AN$238,27,FALSE)</f>
        <v>0.81799999999999995</v>
      </c>
      <c r="W111" s="40">
        <f t="shared" si="44"/>
        <v>3593.7906127428582</v>
      </c>
      <c r="X111" s="40">
        <f>VLOOKUP(D111,[1]apoio_Preços_MGS!$A$6:$AN$238,29,FALSE)</f>
        <v>0</v>
      </c>
      <c r="Y111" s="40">
        <f>VLOOKUP(D111,[1]apoio_Preços_MGS!$A$6:$AN$238,30,FALSE)</f>
        <v>0</v>
      </c>
      <c r="Z111" s="40">
        <f t="shared" si="45"/>
        <v>0</v>
      </c>
      <c r="AA111" s="40">
        <f>VLOOKUP(D111,[1]apoio_Preços_MGS!$A$6:$AN$238,32,FALSE)</f>
        <v>8.4353031497142883</v>
      </c>
      <c r="AB111" s="40">
        <f>VLOOKUP(D111,[1]apoio_Preços_MGS!$A$6:$AN$238,33,FALSE)</f>
        <v>103.59294705294708</v>
      </c>
      <c r="AC111" s="41">
        <f>VLOOKUP(D111,[1]apoio_Preços_MGS!$A$6:$AN$238,34,FALSE)</f>
        <v>0</v>
      </c>
      <c r="AD111" s="40">
        <f>(U111+W111+Z111+AB111+AA111+VLOOKUP(C111,[1]apoio_Prec_Folha!$A:$S,7,FALSE))*AC111</f>
        <v>0</v>
      </c>
      <c r="AE111" s="42">
        <f>VLOOKUP(D111,[1]apoio_Preços_MGS!$A$6:$AN$238,36,FALSE)</f>
        <v>7.0000000000000007E-2</v>
      </c>
      <c r="AF111" s="40">
        <f>(U111+W111+Z111+AB111+AD111+AA111+VLOOKUP(C111,[1]apoio_Prec_Folha!$A:$S,7,FALSE))*AE111</f>
        <v>606.02498363695588</v>
      </c>
      <c r="AG111" s="40">
        <f t="shared" si="46"/>
        <v>8705.23</v>
      </c>
      <c r="AH111" s="43">
        <f t="shared" si="47"/>
        <v>10151.86</v>
      </c>
      <c r="AI111" s="43">
        <f t="shared" si="48"/>
        <v>5299270.92</v>
      </c>
      <c r="AJ111" s="43">
        <f t="shared" si="49"/>
        <v>317956255.20000005</v>
      </c>
      <c r="AK111" s="44">
        <f>VLOOKUP(D111,[1]apoio_Preços_MGS!$A$6:$AN$238,39,FALSE)</f>
        <v>181.81818181818184</v>
      </c>
      <c r="AL111" s="44">
        <f>IF(J111="demais municípios",VLOOKUP(D111,[1]apoio_Preços_MGS!$A$6:$AN$238,39,FALSE),0)</f>
        <v>0</v>
      </c>
      <c r="AM111" s="44">
        <f>TRUNC(ROUND(($I111)/(1-($I111)),5)*VLOOKUP(D111,[1]apoio_Preços_MGS!$A$6:$AN$238,39,FALSE)+VLOOKUP(D111,[1]apoio_Preços_MGS!$A$6:$AN$238,39,FALSE),2)</f>
        <v>191.38</v>
      </c>
      <c r="AN111" s="45">
        <f t="shared" si="32"/>
        <v>99900.36</v>
      </c>
      <c r="AO111" s="44">
        <f>VLOOKUP(D111,[1]apoio_Preços_MGS!$A$6:$AN$238,40,FALSE)</f>
        <v>558.29</v>
      </c>
      <c r="AP111" s="44">
        <f>IF(J111="demais municípios",VLOOKUP(D111,[1]apoio_Preços_MGS!$A$6:$AN$238,40,FALSE),0)</f>
        <v>0</v>
      </c>
      <c r="AQ111" s="44">
        <f>TRUNC(ROUND(($I111)/(1-($I111)),5)*VLOOKUP(D111,[1]apoio_Preços_MGS!$A$6:$AN$238,40,FALSE)+VLOOKUP(D111,[1]apoio_Preços_MGS!$A$6:$AN$238,40,FALSE),2)</f>
        <v>587.66999999999996</v>
      </c>
      <c r="AR111" s="45">
        <f t="shared" si="33"/>
        <v>306763.74</v>
      </c>
      <c r="AS111" s="45">
        <f t="shared" si="34"/>
        <v>406664.1</v>
      </c>
      <c r="AT111" s="45">
        <f t="shared" si="35"/>
        <v>24399846</v>
      </c>
      <c r="AU111" s="62"/>
      <c r="AV111" s="46"/>
      <c r="AW111" s="47"/>
      <c r="AX111" s="48"/>
      <c r="AY111" s="49"/>
      <c r="BA111" s="48"/>
    </row>
    <row r="112" spans="1:53" ht="19.5" customHeight="1" x14ac:dyDescent="0.25">
      <c r="A112" s="33" t="str">
        <f t="shared" si="30"/>
        <v>70041400,03</v>
      </c>
      <c r="B112" s="33" t="str">
        <f t="shared" si="31"/>
        <v>4160,03</v>
      </c>
      <c r="C112" s="34" t="str">
        <f>VLOOKUP(D112,[1]apoio_Preços_MGS!$A$6:$B$238,2,FALSE)</f>
        <v>ASSISTENTE DE LOGÍSTICA</v>
      </c>
      <c r="D112" s="35">
        <v>416</v>
      </c>
      <c r="E112" s="33" t="str">
        <f>VLOOKUP(D112,[1]apoio_Preços_MGS!$A$6:$F$238,6,FALSE)</f>
        <v>ASSISTENTE DE LOGÍSTICA - (PERIC.) - DIARISTA DIURNO - 40H</v>
      </c>
      <c r="F112" s="36">
        <f>IFERROR(VLOOKUP(D112,'[1]apoio_cód catmas'!$B$2:$C$863,2,FALSE),0)</f>
        <v>70041</v>
      </c>
      <c r="G112" s="33" t="str">
        <f>IF(H112="N/A",VLOOKUP(F112&amp;40,'[1]apoio_cód catmas'!$A$1:$G$233,4,FALSE),VLOOKUP(F112&amp;H112,'[1]apoio_cód catmas'!$A$1:$G$233,4,FALSE))</f>
        <v>ASSISTENTE DE LOGISTICA - (PERICULOSIDADE) - 40H            SERVICOS DE APOIO A OPERACAO DE CARGAS, DE SUPORTE LOGISTICO</v>
      </c>
      <c r="H112" s="36">
        <v>40</v>
      </c>
      <c r="I112" s="37">
        <v>0.03</v>
      </c>
      <c r="J112" s="38" t="s">
        <v>46</v>
      </c>
      <c r="K112" s="39">
        <v>6</v>
      </c>
      <c r="L112" s="39">
        <f t="shared" si="42"/>
        <v>360</v>
      </c>
      <c r="M112" s="40">
        <f>VLOOKUP(D112,[1]apoio_Preços_MGS!$A$6:$AN$238,18,FALSE)</f>
        <v>2309.4416989669417</v>
      </c>
      <c r="N112" s="40">
        <f>VLOOKUP(D112,[1]apoio_Preços_MGS!$A$6:$AN$238,19,FALSE)</f>
        <v>692.83250969008247</v>
      </c>
      <c r="O112" s="40">
        <f>VLOOKUP(D112,[1]apoio_Preços_MGS!$A$6:$AN$238,20,FALSE)</f>
        <v>0</v>
      </c>
      <c r="P112" s="40">
        <f>VLOOKUP(D112,[1]apoio_Preços_MGS!$A$6:$AN$238,21,FALSE)</f>
        <v>0</v>
      </c>
      <c r="Q112" s="40">
        <f>VLOOKUP(D112,[1]apoio_Preços_MGS!$A$6:$AN$238,22,FALSE)</f>
        <v>0</v>
      </c>
      <c r="R112" s="40">
        <f>VLOOKUP(D112,[1]apoio_Preços_MGS!$A$6:$AN$238,23,FALSE)</f>
        <v>0</v>
      </c>
      <c r="S112" s="40">
        <f>VLOOKUP(D112,[1]apoio_Preços_MGS!$A$6:$AN$238,24,FALSE)</f>
        <v>0</v>
      </c>
      <c r="T112" s="40">
        <f>VLOOKUP(D112,[1]apoio_Preços_MGS!$A$6:$AN$238,25,FALSE)</f>
        <v>0</v>
      </c>
      <c r="U112" s="40">
        <f t="shared" si="43"/>
        <v>3002.2742086570242</v>
      </c>
      <c r="V112" s="41">
        <f>VLOOKUP(D112,[1]apoio_Preços_MGS!$A$6:$AN$238,27,FALSE)</f>
        <v>0.81799999999999995</v>
      </c>
      <c r="W112" s="40">
        <f t="shared" si="44"/>
        <v>2455.8603026814458</v>
      </c>
      <c r="X112" s="40">
        <f>VLOOKUP(D112,[1]apoio_Preços_MGS!$A$6:$AN$238,29,FALSE)</f>
        <v>20.923636363636362</v>
      </c>
      <c r="Y112" s="40">
        <f>VLOOKUP(D112,[1]apoio_Preços_MGS!$A$6:$AN$238,30,FALSE)</f>
        <v>24.556898071625341</v>
      </c>
      <c r="Z112" s="40">
        <f t="shared" si="45"/>
        <v>45.480534435261703</v>
      </c>
      <c r="AA112" s="40">
        <f>VLOOKUP(D112,[1]apoio_Preços_MGS!$A$6:$AN$238,32,FALSE)</f>
        <v>4.4341280620165273</v>
      </c>
      <c r="AB112" s="40">
        <f>VLOOKUP(D112,[1]apoio_Preços_MGS!$A$6:$AN$238,33,FALSE)</f>
        <v>350.84615966942147</v>
      </c>
      <c r="AC112" s="41">
        <f>VLOOKUP(D112,[1]apoio_Preços_MGS!$A$6:$AN$238,34,FALSE)</f>
        <v>0</v>
      </c>
      <c r="AD112" s="40">
        <f>(U112+W112+Z112+AB112+AA112+VLOOKUP(C112,[1]apoio_Prec_Folha!$A:$S,7,FALSE))*AC112</f>
        <v>0</v>
      </c>
      <c r="AE112" s="42">
        <f>VLOOKUP(D112,[1]apoio_Preços_MGS!$A$6:$AN$238,36,FALSE)</f>
        <v>7.0000000000000007E-2</v>
      </c>
      <c r="AF112" s="40">
        <f>(U112+W112+Z112+AB112+AD112+AA112+VLOOKUP(C112,[1]apoio_Prec_Folha!$A:$S,7,FALSE))*AE112</f>
        <v>448.64759334536205</v>
      </c>
      <c r="AG112" s="40">
        <f t="shared" si="46"/>
        <v>6307.54</v>
      </c>
      <c r="AH112" s="43">
        <f t="shared" si="47"/>
        <v>7188.07</v>
      </c>
      <c r="AI112" s="43">
        <f t="shared" si="48"/>
        <v>43128.42</v>
      </c>
      <c r="AJ112" s="43">
        <f t="shared" si="49"/>
        <v>2587705.1999999997</v>
      </c>
      <c r="AK112" s="44">
        <f>VLOOKUP(D112,[1]apoio_Preços_MGS!$A$6:$AN$238,39,FALSE)</f>
        <v>181.81818181818184</v>
      </c>
      <c r="AL112" s="44">
        <f>IF(J112="demais municípios",VLOOKUP(D112,[1]apoio_Preços_MGS!$A$6:$AN$238,39,FALSE),0)</f>
        <v>181.81818181818184</v>
      </c>
      <c r="AM112" s="44">
        <v>0</v>
      </c>
      <c r="AN112" s="45">
        <f>AK112*K112</f>
        <v>1090.909090909091</v>
      </c>
      <c r="AO112" s="44">
        <f>VLOOKUP(D112,[1]apoio_Preços_MGS!$A$6:$AN$238,40,FALSE)</f>
        <v>550.35</v>
      </c>
      <c r="AP112" s="44">
        <f>IF(J112="demais municípios",VLOOKUP(D112,[1]apoio_Preços_MGS!$A$6:$AN$238,40,FALSE),0)</f>
        <v>550.35</v>
      </c>
      <c r="AQ112" s="44">
        <v>0</v>
      </c>
      <c r="AR112" s="45">
        <f>AO112*K112</f>
        <v>3302.1000000000004</v>
      </c>
      <c r="AS112" s="45">
        <f t="shared" si="34"/>
        <v>4393.0090909090914</v>
      </c>
      <c r="AT112" s="45">
        <f t="shared" si="35"/>
        <v>263580.54545454547</v>
      </c>
      <c r="AU112" s="62"/>
      <c r="AV112" s="46"/>
      <c r="AW112" s="47"/>
      <c r="AX112" s="48"/>
      <c r="AY112" s="49"/>
      <c r="BA112" s="48"/>
    </row>
    <row r="113" spans="1:53" ht="19.5" customHeight="1" x14ac:dyDescent="0.25">
      <c r="A113" s="33" t="str">
        <f t="shared" si="30"/>
        <v>70041400,05</v>
      </c>
      <c r="B113" s="33" t="str">
        <f t="shared" si="31"/>
        <v>4160,05</v>
      </c>
      <c r="C113" s="34" t="str">
        <f>VLOOKUP(D113,[1]apoio_Preços_MGS!$A$6:$B$238,2,FALSE)</f>
        <v>ASSISTENTE DE LOGÍSTICA</v>
      </c>
      <c r="D113" s="35">
        <v>416</v>
      </c>
      <c r="E113" s="33" t="str">
        <f>VLOOKUP(D113,[1]apoio_Preços_MGS!$A$6:$F$238,6,FALSE)</f>
        <v>ASSISTENTE DE LOGÍSTICA - (PERIC.) - DIARISTA DIURNO - 40H</v>
      </c>
      <c r="F113" s="36">
        <f>IFERROR(VLOOKUP(D113,'[1]apoio_cód catmas'!$B$2:$C$863,2,FALSE),0)</f>
        <v>70041</v>
      </c>
      <c r="G113" s="33" t="str">
        <f>IF(H113="N/A",VLOOKUP(F113&amp;40,'[1]apoio_cód catmas'!$A$1:$G$233,4,FALSE),VLOOKUP(F113&amp;H113,'[1]apoio_cód catmas'!$A$1:$G$233,4,FALSE))</f>
        <v>ASSISTENTE DE LOGISTICA - (PERICULOSIDADE) - 40H            SERVICOS DE APOIO A OPERACAO DE CARGAS, DE SUPORTE LOGISTICO</v>
      </c>
      <c r="H113" s="36">
        <v>40</v>
      </c>
      <c r="I113" s="37">
        <v>0.05</v>
      </c>
      <c r="J113" s="38" t="s">
        <v>47</v>
      </c>
      <c r="K113" s="39">
        <v>7</v>
      </c>
      <c r="L113" s="39">
        <f t="shared" si="42"/>
        <v>420</v>
      </c>
      <c r="M113" s="40">
        <f>VLOOKUP(D113,[1]apoio_Preços_MGS!$A$6:$AN$238,18,FALSE)</f>
        <v>2309.4416989669417</v>
      </c>
      <c r="N113" s="40">
        <f>VLOOKUP(D113,[1]apoio_Preços_MGS!$A$6:$AN$238,19,FALSE)</f>
        <v>692.83250969008247</v>
      </c>
      <c r="O113" s="40">
        <f>VLOOKUP(D113,[1]apoio_Preços_MGS!$A$6:$AN$238,20,FALSE)</f>
        <v>0</v>
      </c>
      <c r="P113" s="40">
        <f>VLOOKUP(D113,[1]apoio_Preços_MGS!$A$6:$AN$238,21,FALSE)</f>
        <v>0</v>
      </c>
      <c r="Q113" s="40">
        <f>VLOOKUP(D113,[1]apoio_Preços_MGS!$A$6:$AN$238,22,FALSE)</f>
        <v>0</v>
      </c>
      <c r="R113" s="40">
        <f>VLOOKUP(D113,[1]apoio_Preços_MGS!$A$6:$AN$238,23,FALSE)</f>
        <v>0</v>
      </c>
      <c r="S113" s="40">
        <f>VLOOKUP(D113,[1]apoio_Preços_MGS!$A$6:$AN$238,24,FALSE)</f>
        <v>0</v>
      </c>
      <c r="T113" s="40">
        <f>VLOOKUP(D113,[1]apoio_Preços_MGS!$A$6:$AN$238,25,FALSE)</f>
        <v>0</v>
      </c>
      <c r="U113" s="40">
        <f t="shared" si="43"/>
        <v>3002.2742086570242</v>
      </c>
      <c r="V113" s="41">
        <f>VLOOKUP(D113,[1]apoio_Preços_MGS!$A$6:$AN$238,27,FALSE)</f>
        <v>0.81799999999999995</v>
      </c>
      <c r="W113" s="40">
        <f t="shared" si="44"/>
        <v>2455.8603026814458</v>
      </c>
      <c r="X113" s="40">
        <f>VLOOKUP(D113,[1]apoio_Preços_MGS!$A$6:$AN$238,29,FALSE)</f>
        <v>20.923636363636362</v>
      </c>
      <c r="Y113" s="40">
        <f>VLOOKUP(D113,[1]apoio_Preços_MGS!$A$6:$AN$238,30,FALSE)</f>
        <v>24.556898071625341</v>
      </c>
      <c r="Z113" s="40">
        <f t="shared" si="45"/>
        <v>45.480534435261703</v>
      </c>
      <c r="AA113" s="40">
        <f>VLOOKUP(D113,[1]apoio_Preços_MGS!$A$6:$AN$238,32,FALSE)</f>
        <v>4.4341280620165273</v>
      </c>
      <c r="AB113" s="40">
        <f>VLOOKUP(D113,[1]apoio_Preços_MGS!$A$6:$AN$238,33,FALSE)</f>
        <v>350.84615966942147</v>
      </c>
      <c r="AC113" s="41">
        <f>VLOOKUP(D113,[1]apoio_Preços_MGS!$A$6:$AN$238,34,FALSE)</f>
        <v>0</v>
      </c>
      <c r="AD113" s="40">
        <f>(U113+W113+Z113+AB113+AA113+VLOOKUP(C113,[1]apoio_Prec_Folha!$A:$S,7,FALSE))*AC113</f>
        <v>0</v>
      </c>
      <c r="AE113" s="42">
        <f>VLOOKUP(D113,[1]apoio_Preços_MGS!$A$6:$AN$238,36,FALSE)</f>
        <v>7.0000000000000007E-2</v>
      </c>
      <c r="AF113" s="40">
        <f>(U113+W113+Z113+AB113+AD113+AA113+VLOOKUP(C113,[1]apoio_Prec_Folha!$A:$S,7,FALSE))*AE113</f>
        <v>448.64759334536205</v>
      </c>
      <c r="AG113" s="40">
        <f t="shared" si="46"/>
        <v>6307.54</v>
      </c>
      <c r="AH113" s="43">
        <f t="shared" si="47"/>
        <v>7355.72</v>
      </c>
      <c r="AI113" s="43">
        <f t="shared" si="48"/>
        <v>51490.04</v>
      </c>
      <c r="AJ113" s="43">
        <f t="shared" si="49"/>
        <v>3089402.4</v>
      </c>
      <c r="AK113" s="44">
        <f>VLOOKUP(D113,[1]apoio_Preços_MGS!$A$6:$AN$238,39,FALSE)</f>
        <v>181.81818181818184</v>
      </c>
      <c r="AL113" s="44">
        <f>IF(J113="demais municípios",VLOOKUP(D113,[1]apoio_Preços_MGS!$A$6:$AN$238,39,FALSE),0)</f>
        <v>0</v>
      </c>
      <c r="AM113" s="44">
        <f>TRUNC(ROUND(($I113)/(1-($I113)),5)*VLOOKUP(D113,[1]apoio_Preços_MGS!$A$6:$AN$238,39,FALSE)+VLOOKUP(D113,[1]apoio_Preços_MGS!$A$6:$AN$238,39,FALSE),2)</f>
        <v>191.38</v>
      </c>
      <c r="AN113" s="45">
        <f t="shared" si="32"/>
        <v>1339.6599999999999</v>
      </c>
      <c r="AO113" s="44">
        <f>VLOOKUP(D113,[1]apoio_Preços_MGS!$A$6:$AN$238,40,FALSE)</f>
        <v>550.35</v>
      </c>
      <c r="AP113" s="44">
        <f>IF(J113="demais municípios",VLOOKUP(D113,[1]apoio_Preços_MGS!$A$6:$AN$238,40,FALSE),0)</f>
        <v>0</v>
      </c>
      <c r="AQ113" s="44">
        <f>TRUNC(ROUND(($I113)/(1-($I113)),5)*VLOOKUP(D113,[1]apoio_Preços_MGS!$A$6:$AN$238,40,FALSE)+VLOOKUP(D113,[1]apoio_Preços_MGS!$A$6:$AN$238,40,FALSE),2)</f>
        <v>579.30999999999995</v>
      </c>
      <c r="AR113" s="45">
        <f t="shared" si="33"/>
        <v>4055.1699999999996</v>
      </c>
      <c r="AS113" s="45">
        <f t="shared" si="34"/>
        <v>5394.83</v>
      </c>
      <c r="AT113" s="45">
        <f t="shared" si="35"/>
        <v>323689.8</v>
      </c>
      <c r="AU113" s="62"/>
      <c r="AV113" s="46"/>
      <c r="AW113" s="47"/>
      <c r="AX113" s="48"/>
      <c r="AY113" s="49"/>
      <c r="BA113" s="48"/>
    </row>
    <row r="114" spans="1:53" ht="19.5" customHeight="1" x14ac:dyDescent="0.25">
      <c r="A114" s="33" t="str">
        <f t="shared" si="30"/>
        <v>63606440,05</v>
      </c>
      <c r="B114" s="33" t="str">
        <f t="shared" si="31"/>
        <v>2240,05</v>
      </c>
      <c r="C114" s="34" t="str">
        <f>VLOOKUP(D114,[1]apoio_Preços_MGS!$A$6:$B$238,2,FALSE)</f>
        <v>ASSISTENTE DE LOGÍSTICA</v>
      </c>
      <c r="D114" s="35">
        <v>224</v>
      </c>
      <c r="E114" s="33" t="str">
        <f>VLOOKUP(D114,[1]apoio_Preços_MGS!$A$6:$F$238,6,FALSE)</f>
        <v>ASSISTENTE DE LOGÍSTICA - 12x36 DIURNO - 44H</v>
      </c>
      <c r="F114" s="36">
        <f>IFERROR(VLOOKUP(D114,'[1]apoio_cód catmas'!$B$2:$C$863,2,FALSE),0)</f>
        <v>63606</v>
      </c>
      <c r="G114" s="33" t="str">
        <f>IF(H114="N/A",VLOOKUP(F114&amp;40,'[1]apoio_cód catmas'!$A$1:$G$233,4,FALSE),VLOOKUP(F114&amp;H114,'[1]apoio_cód catmas'!$A$1:$G$233,4,FALSE))</f>
        <v>ASSISTENTE DE LOGISTICA - 12X36 DIURNO - 44H</v>
      </c>
      <c r="H114" s="36">
        <v>44</v>
      </c>
      <c r="I114" s="37">
        <v>0.05</v>
      </c>
      <c r="J114" s="38" t="s">
        <v>47</v>
      </c>
      <c r="K114" s="39">
        <v>6</v>
      </c>
      <c r="L114" s="39">
        <f t="shared" si="42"/>
        <v>360</v>
      </c>
      <c r="M114" s="40">
        <f>VLOOKUP(D114,[1]apoio_Preços_MGS!$A$6:$AN$238,18,FALSE)</f>
        <v>2540.3858688636356</v>
      </c>
      <c r="N114" s="40">
        <f>VLOOKUP(D114,[1]apoio_Preços_MGS!$A$6:$AN$238,19,FALSE)</f>
        <v>0</v>
      </c>
      <c r="O114" s="40">
        <f>VLOOKUP(D114,[1]apoio_Preços_MGS!$A$6:$AN$238,20,FALSE)</f>
        <v>0</v>
      </c>
      <c r="P114" s="40">
        <f>VLOOKUP(D114,[1]apoio_Preços_MGS!$A$6:$AN$238,21,FALSE)</f>
        <v>0</v>
      </c>
      <c r="Q114" s="40">
        <f>VLOOKUP(D114,[1]apoio_Preços_MGS!$A$6:$AN$238,22,FALSE)</f>
        <v>0</v>
      </c>
      <c r="R114" s="40">
        <f>VLOOKUP(D114,[1]apoio_Preços_MGS!$A$6:$AN$238,23,FALSE)</f>
        <v>0</v>
      </c>
      <c r="S114" s="40">
        <f>VLOOKUP(D114,[1]apoio_Preços_MGS!$A$6:$AN$238,24,FALSE)</f>
        <v>0</v>
      </c>
      <c r="T114" s="40">
        <f>VLOOKUP(D114,[1]apoio_Preços_MGS!$A$6:$AN$238,25,FALSE)</f>
        <v>3.5283137067550494</v>
      </c>
      <c r="U114" s="40">
        <f t="shared" si="43"/>
        <v>2543.9141825703905</v>
      </c>
      <c r="V114" s="41">
        <f>VLOOKUP(D114,[1]apoio_Preços_MGS!$A$6:$AN$238,27,FALSE)</f>
        <v>0.81799999999999995</v>
      </c>
      <c r="W114" s="40">
        <f t="shared" si="44"/>
        <v>2080.9218013425793</v>
      </c>
      <c r="X114" s="40">
        <f>VLOOKUP(D114,[1]apoio_Preços_MGS!$A$6:$AN$238,29,FALSE)</f>
        <v>20.923636363636362</v>
      </c>
      <c r="Y114" s="40">
        <f>VLOOKUP(D114,[1]apoio_Preços_MGS!$A$6:$AN$238,30,FALSE)</f>
        <v>24.556898071625341</v>
      </c>
      <c r="Z114" s="40">
        <f t="shared" si="45"/>
        <v>45.480534435261703</v>
      </c>
      <c r="AA114" s="40">
        <f>VLOOKUP(D114,[1]apoio_Preços_MGS!$A$6:$AN$238,32,FALSE)</f>
        <v>4.8775408682181798</v>
      </c>
      <c r="AB114" s="40">
        <f>VLOOKUP(D114,[1]apoio_Preços_MGS!$A$6:$AN$238,33,FALSE)</f>
        <v>340.84801090909087</v>
      </c>
      <c r="AC114" s="41">
        <f>VLOOKUP(D114,[1]apoio_Preços_MGS!$A$6:$AN$238,34,FALSE)</f>
        <v>0</v>
      </c>
      <c r="AD114" s="40">
        <f>(U114+W114+Z114+AB114+AA114+VLOOKUP(C114,[1]apoio_Prec_Folha!$A:$S,7,FALSE))*AC114</f>
        <v>0</v>
      </c>
      <c r="AE114" s="42">
        <f>VLOOKUP(D114,[1]apoio_Preços_MGS!$A$6:$AN$238,36,FALSE)</f>
        <v>7.0000000000000007E-2</v>
      </c>
      <c r="AF114" s="40">
        <f>(U114+W114+Z114+AB114+AD114+AA114+VLOOKUP(C114,[1]apoio_Prec_Folha!$A:$S,7,FALSE))*AE114</f>
        <v>389.64786490878799</v>
      </c>
      <c r="AG114" s="40">
        <f t="shared" si="46"/>
        <v>5405.68</v>
      </c>
      <c r="AH114" s="43">
        <f t="shared" si="47"/>
        <v>6303.99</v>
      </c>
      <c r="AI114" s="43">
        <f t="shared" si="48"/>
        <v>37823.94</v>
      </c>
      <c r="AJ114" s="43">
        <f t="shared" si="49"/>
        <v>2269436.4</v>
      </c>
      <c r="AK114" s="44">
        <f>VLOOKUP(D114,[1]apoio_Preços_MGS!$A$6:$AN$238,39,FALSE)</f>
        <v>200.00000000000003</v>
      </c>
      <c r="AL114" s="44">
        <f>IF(J114="demais municípios",VLOOKUP(D114,[1]apoio_Preços_MGS!$A$6:$AN$238,39,FALSE),0)</f>
        <v>0</v>
      </c>
      <c r="AM114" s="44">
        <f>TRUNC(ROUND(($I114)/(1-($I114)),5)*VLOOKUP(D114,[1]apoio_Preços_MGS!$A$6:$AN$238,39,FALSE)+VLOOKUP(D114,[1]apoio_Preços_MGS!$A$6:$AN$238,39,FALSE),2)</f>
        <v>210.52</v>
      </c>
      <c r="AN114" s="45">
        <f t="shared" si="32"/>
        <v>1263.1200000000001</v>
      </c>
      <c r="AO114" s="44">
        <f>VLOOKUP(D114,[1]apoio_Preços_MGS!$A$6:$AN$238,40,FALSE)</f>
        <v>550.35</v>
      </c>
      <c r="AP114" s="44">
        <f>IF(J114="demais municípios",VLOOKUP(D114,[1]apoio_Preços_MGS!$A$6:$AN$238,40,FALSE),0)</f>
        <v>0</v>
      </c>
      <c r="AQ114" s="44">
        <f>TRUNC(ROUND(($I114)/(1-($I114)),5)*VLOOKUP(D114,[1]apoio_Preços_MGS!$A$6:$AN$238,40,FALSE)+VLOOKUP(D114,[1]apoio_Preços_MGS!$A$6:$AN$238,40,FALSE),2)</f>
        <v>579.30999999999995</v>
      </c>
      <c r="AR114" s="45">
        <f t="shared" si="33"/>
        <v>3475.8599999999997</v>
      </c>
      <c r="AS114" s="45">
        <f t="shared" si="34"/>
        <v>4738.9799999999996</v>
      </c>
      <c r="AT114" s="45">
        <f t="shared" si="35"/>
        <v>284338.8</v>
      </c>
      <c r="AU114" s="62"/>
      <c r="AV114" s="46"/>
      <c r="AW114" s="47"/>
      <c r="AX114" s="48"/>
      <c r="AY114" s="49"/>
      <c r="BA114" s="48"/>
    </row>
    <row r="115" spans="1:53" ht="19.5" customHeight="1" x14ac:dyDescent="0.25">
      <c r="A115" s="33" t="str">
        <f t="shared" si="30"/>
        <v>64106400,03</v>
      </c>
      <c r="B115" s="33" t="str">
        <f t="shared" si="31"/>
        <v>2210,03</v>
      </c>
      <c r="C115" s="34" t="str">
        <f>VLOOKUP(D115,[1]apoio_Preços_MGS!$A$6:$B$238,2,FALSE)</f>
        <v>ASSISTENTE DE LOGÍSTICA</v>
      </c>
      <c r="D115" s="35">
        <v>221</v>
      </c>
      <c r="E115" s="33" t="str">
        <f>VLOOKUP(D115,[1]apoio_Preços_MGS!$A$6:$F$238,6,FALSE)</f>
        <v>ASSISTENTE DE LOGÍSTICA - DIARISTA DIURNO - 40H</v>
      </c>
      <c r="F115" s="36">
        <f>IFERROR(VLOOKUP(D115,'[1]apoio_cód catmas'!$B$2:$C$863,2,FALSE),0)</f>
        <v>64106</v>
      </c>
      <c r="G115" s="33" t="str">
        <f>IF(H115="N/A",VLOOKUP(F115&amp;40,'[1]apoio_cód catmas'!$A$1:$G$233,4,FALSE),VLOOKUP(F115&amp;H115,'[1]apoio_cód catmas'!$A$1:$G$233,4,FALSE))</f>
        <v>ASSISTENTE DE LOGISTICA - 40H OU 44H</v>
      </c>
      <c r="H115" s="36">
        <v>40</v>
      </c>
      <c r="I115" s="37">
        <v>0.03</v>
      </c>
      <c r="J115" s="38" t="s">
        <v>46</v>
      </c>
      <c r="K115" s="39">
        <v>17</v>
      </c>
      <c r="L115" s="39">
        <f t="shared" si="42"/>
        <v>1020</v>
      </c>
      <c r="M115" s="40">
        <f>VLOOKUP(D115,[1]apoio_Preços_MGS!$A$6:$AN$238,18,FALSE)</f>
        <v>2309.4416989669417</v>
      </c>
      <c r="N115" s="40">
        <f>VLOOKUP(D115,[1]apoio_Preços_MGS!$A$6:$AN$238,19,FALSE)</f>
        <v>0</v>
      </c>
      <c r="O115" s="40">
        <f>VLOOKUP(D115,[1]apoio_Preços_MGS!$A$6:$AN$238,20,FALSE)</f>
        <v>0</v>
      </c>
      <c r="P115" s="40">
        <f>VLOOKUP(D115,[1]apoio_Preços_MGS!$A$6:$AN$238,21,FALSE)</f>
        <v>0</v>
      </c>
      <c r="Q115" s="40">
        <f>VLOOKUP(D115,[1]apoio_Preços_MGS!$A$6:$AN$238,22,FALSE)</f>
        <v>0</v>
      </c>
      <c r="R115" s="40">
        <f>VLOOKUP(D115,[1]apoio_Preços_MGS!$A$6:$AN$238,23,FALSE)</f>
        <v>0</v>
      </c>
      <c r="S115" s="40">
        <f>VLOOKUP(D115,[1]apoio_Preços_MGS!$A$6:$AN$238,24,FALSE)</f>
        <v>0</v>
      </c>
      <c r="T115" s="40">
        <f>VLOOKUP(D115,[1]apoio_Preços_MGS!$A$6:$AN$238,25,FALSE)</f>
        <v>0</v>
      </c>
      <c r="U115" s="40">
        <f t="shared" si="43"/>
        <v>2309.4416989669417</v>
      </c>
      <c r="V115" s="41">
        <f>VLOOKUP(D115,[1]apoio_Preços_MGS!$A$6:$AN$238,27,FALSE)</f>
        <v>0.81799999999999995</v>
      </c>
      <c r="W115" s="40">
        <f t="shared" si="44"/>
        <v>1889.1233097549582</v>
      </c>
      <c r="X115" s="40">
        <f>VLOOKUP(D115,[1]apoio_Preços_MGS!$A$6:$AN$238,29,FALSE)</f>
        <v>20.923636363636362</v>
      </c>
      <c r="Y115" s="40">
        <f>VLOOKUP(D115,[1]apoio_Preços_MGS!$A$6:$AN$238,30,FALSE)</f>
        <v>24.556898071625341</v>
      </c>
      <c r="Z115" s="40">
        <f t="shared" si="45"/>
        <v>45.480534435261703</v>
      </c>
      <c r="AA115" s="40">
        <f>VLOOKUP(D115,[1]apoio_Preços_MGS!$A$6:$AN$238,32,FALSE)</f>
        <v>4.4341280620165273</v>
      </c>
      <c r="AB115" s="40">
        <f>VLOOKUP(D115,[1]apoio_Preços_MGS!$A$6:$AN$238,33,FALSE)</f>
        <v>350.84615966942147</v>
      </c>
      <c r="AC115" s="41">
        <f>VLOOKUP(D115,[1]apoio_Preços_MGS!$A$6:$AN$238,34,FALSE)</f>
        <v>0</v>
      </c>
      <c r="AD115" s="40">
        <f>(U115+W115+Z115+AB115+AA115+VLOOKUP(C115,[1]apoio_Prec_Folha!$A:$S,7,FALSE))*AC115</f>
        <v>0</v>
      </c>
      <c r="AE115" s="42">
        <f>VLOOKUP(D115,[1]apoio_Preços_MGS!$A$6:$AN$238,36,FALSE)</f>
        <v>7.0000000000000007E-2</v>
      </c>
      <c r="AF115" s="40">
        <f>(U115+W115+Z115+AB115+AD115+AA115+VLOOKUP(C115,[1]apoio_Prec_Folha!$A:$S,7,FALSE))*AE115</f>
        <v>360.47772816220214</v>
      </c>
      <c r="AG115" s="40">
        <f t="shared" si="46"/>
        <v>4959.8</v>
      </c>
      <c r="AH115" s="43">
        <f t="shared" si="47"/>
        <v>5652.18</v>
      </c>
      <c r="AI115" s="43">
        <f t="shared" si="48"/>
        <v>96087.06</v>
      </c>
      <c r="AJ115" s="43">
        <f t="shared" si="49"/>
        <v>5765223.6000000006</v>
      </c>
      <c r="AK115" s="44">
        <f>VLOOKUP(D115,[1]apoio_Preços_MGS!$A$6:$AN$238,39,FALSE)</f>
        <v>181.81818181818184</v>
      </c>
      <c r="AL115" s="44">
        <f>IF(J115="demais municípios",VLOOKUP(D115,[1]apoio_Preços_MGS!$A$6:$AN$238,39,FALSE),0)</f>
        <v>181.81818181818184</v>
      </c>
      <c r="AM115" s="44">
        <v>0</v>
      </c>
      <c r="AN115" s="45">
        <f>AK115*K115</f>
        <v>3090.9090909090914</v>
      </c>
      <c r="AO115" s="44">
        <f>VLOOKUP(D115,[1]apoio_Preços_MGS!$A$6:$AN$238,40,FALSE)</f>
        <v>550.35</v>
      </c>
      <c r="AP115" s="44">
        <f>IF(J115="demais municípios",VLOOKUP(D115,[1]apoio_Preços_MGS!$A$6:$AN$238,40,FALSE),0)</f>
        <v>550.35</v>
      </c>
      <c r="AQ115" s="44">
        <v>0</v>
      </c>
      <c r="AR115" s="45">
        <f>AO115*K115</f>
        <v>9355.9500000000007</v>
      </c>
      <c r="AS115" s="45">
        <f t="shared" si="34"/>
        <v>12446.859090909093</v>
      </c>
      <c r="AT115" s="45">
        <f t="shared" si="35"/>
        <v>746811.54545454553</v>
      </c>
      <c r="AU115" s="62"/>
      <c r="AV115" s="46"/>
      <c r="AW115" s="47"/>
      <c r="AX115" s="48"/>
      <c r="AY115" s="49"/>
      <c r="BA115" s="48"/>
    </row>
    <row r="116" spans="1:53" ht="19.5" customHeight="1" x14ac:dyDescent="0.25">
      <c r="A116" s="33" t="str">
        <f t="shared" si="30"/>
        <v>64106400,05</v>
      </c>
      <c r="B116" s="33" t="str">
        <f t="shared" si="31"/>
        <v>2210,05</v>
      </c>
      <c r="C116" s="34" t="str">
        <f>VLOOKUP(D116,[1]apoio_Preços_MGS!$A$6:$B$238,2,FALSE)</f>
        <v>ASSISTENTE DE LOGÍSTICA</v>
      </c>
      <c r="D116" s="35">
        <v>221</v>
      </c>
      <c r="E116" s="33" t="str">
        <f>VLOOKUP(D116,[1]apoio_Preços_MGS!$A$6:$F$238,6,FALSE)</f>
        <v>ASSISTENTE DE LOGÍSTICA - DIARISTA DIURNO - 40H</v>
      </c>
      <c r="F116" s="36">
        <f>IFERROR(VLOOKUP(D116,'[1]apoio_cód catmas'!$B$2:$C$863,2,FALSE),0)</f>
        <v>64106</v>
      </c>
      <c r="G116" s="33" t="str">
        <f>IF(H116="N/A",VLOOKUP(F116&amp;40,'[1]apoio_cód catmas'!$A$1:$G$233,4,FALSE),VLOOKUP(F116&amp;H116,'[1]apoio_cód catmas'!$A$1:$G$233,4,FALSE))</f>
        <v>ASSISTENTE DE LOGISTICA - 40H OU 44H</v>
      </c>
      <c r="H116" s="36">
        <v>40</v>
      </c>
      <c r="I116" s="37">
        <v>0.05</v>
      </c>
      <c r="J116" s="38" t="s">
        <v>47</v>
      </c>
      <c r="K116" s="39">
        <v>32</v>
      </c>
      <c r="L116" s="39">
        <f t="shared" si="42"/>
        <v>1920</v>
      </c>
      <c r="M116" s="40">
        <f>VLOOKUP(D116,[1]apoio_Preços_MGS!$A$6:$AN$238,18,FALSE)</f>
        <v>2309.4416989669417</v>
      </c>
      <c r="N116" s="40">
        <f>VLOOKUP(D116,[1]apoio_Preços_MGS!$A$6:$AN$238,19,FALSE)</f>
        <v>0</v>
      </c>
      <c r="O116" s="40">
        <f>VLOOKUP(D116,[1]apoio_Preços_MGS!$A$6:$AN$238,20,FALSE)</f>
        <v>0</v>
      </c>
      <c r="P116" s="40">
        <f>VLOOKUP(D116,[1]apoio_Preços_MGS!$A$6:$AN$238,21,FALSE)</f>
        <v>0</v>
      </c>
      <c r="Q116" s="40">
        <f>VLOOKUP(D116,[1]apoio_Preços_MGS!$A$6:$AN$238,22,FALSE)</f>
        <v>0</v>
      </c>
      <c r="R116" s="40">
        <f>VLOOKUP(D116,[1]apoio_Preços_MGS!$A$6:$AN$238,23,FALSE)</f>
        <v>0</v>
      </c>
      <c r="S116" s="40">
        <f>VLOOKUP(D116,[1]apoio_Preços_MGS!$A$6:$AN$238,24,FALSE)</f>
        <v>0</v>
      </c>
      <c r="T116" s="40">
        <f>VLOOKUP(D116,[1]apoio_Preços_MGS!$A$6:$AN$238,25,FALSE)</f>
        <v>0</v>
      </c>
      <c r="U116" s="40">
        <f t="shared" si="43"/>
        <v>2309.4416989669417</v>
      </c>
      <c r="V116" s="41">
        <f>VLOOKUP(D116,[1]apoio_Preços_MGS!$A$6:$AN$238,27,FALSE)</f>
        <v>0.81799999999999995</v>
      </c>
      <c r="W116" s="40">
        <f t="shared" si="44"/>
        <v>1889.1233097549582</v>
      </c>
      <c r="X116" s="40">
        <f>VLOOKUP(D116,[1]apoio_Preços_MGS!$A$6:$AN$238,29,FALSE)</f>
        <v>20.923636363636362</v>
      </c>
      <c r="Y116" s="40">
        <f>VLOOKUP(D116,[1]apoio_Preços_MGS!$A$6:$AN$238,30,FALSE)</f>
        <v>24.556898071625341</v>
      </c>
      <c r="Z116" s="40">
        <f t="shared" si="45"/>
        <v>45.480534435261703</v>
      </c>
      <c r="AA116" s="40">
        <f>VLOOKUP(D116,[1]apoio_Preços_MGS!$A$6:$AN$238,32,FALSE)</f>
        <v>4.4341280620165273</v>
      </c>
      <c r="AB116" s="40">
        <f>VLOOKUP(D116,[1]apoio_Preços_MGS!$A$6:$AN$238,33,FALSE)</f>
        <v>350.84615966942147</v>
      </c>
      <c r="AC116" s="41">
        <f>VLOOKUP(D116,[1]apoio_Preços_MGS!$A$6:$AN$238,34,FALSE)</f>
        <v>0</v>
      </c>
      <c r="AD116" s="40">
        <f>(U116+W116+Z116+AB116+AA116+VLOOKUP(C116,[1]apoio_Prec_Folha!$A:$S,7,FALSE))*AC116</f>
        <v>0</v>
      </c>
      <c r="AE116" s="42">
        <f>VLOOKUP(D116,[1]apoio_Preços_MGS!$A$6:$AN$238,36,FALSE)</f>
        <v>7.0000000000000007E-2</v>
      </c>
      <c r="AF116" s="40">
        <f>(U116+W116+Z116+AB116+AD116+AA116+VLOOKUP(C116,[1]apoio_Prec_Folha!$A:$S,7,FALSE))*AE116</f>
        <v>360.47772816220214</v>
      </c>
      <c r="AG116" s="40">
        <f t="shared" si="46"/>
        <v>4959.8</v>
      </c>
      <c r="AH116" s="43">
        <f t="shared" si="47"/>
        <v>5784.01</v>
      </c>
      <c r="AI116" s="43">
        <f t="shared" si="48"/>
        <v>185088.32</v>
      </c>
      <c r="AJ116" s="43">
        <f t="shared" si="49"/>
        <v>11105299.200000001</v>
      </c>
      <c r="AK116" s="44">
        <f>VLOOKUP(D116,[1]apoio_Preços_MGS!$A$6:$AN$238,39,FALSE)</f>
        <v>181.81818181818184</v>
      </c>
      <c r="AL116" s="44">
        <f>IF(J116="demais municípios",VLOOKUP(D116,[1]apoio_Preços_MGS!$A$6:$AN$238,39,FALSE),0)</f>
        <v>0</v>
      </c>
      <c r="AM116" s="44">
        <f>TRUNC(ROUND(($I116)/(1-($I116)),5)*VLOOKUP(D116,[1]apoio_Preços_MGS!$A$6:$AN$238,39,FALSE)+VLOOKUP(D116,[1]apoio_Preços_MGS!$A$6:$AN$238,39,FALSE),2)</f>
        <v>191.38</v>
      </c>
      <c r="AN116" s="45">
        <f t="shared" si="32"/>
        <v>6124.16</v>
      </c>
      <c r="AO116" s="44">
        <f>VLOOKUP(D116,[1]apoio_Preços_MGS!$A$6:$AN$238,40,FALSE)</f>
        <v>550.35</v>
      </c>
      <c r="AP116" s="44">
        <f>IF(J116="demais municípios",VLOOKUP(D116,[1]apoio_Preços_MGS!$A$6:$AN$238,40,FALSE),0)</f>
        <v>0</v>
      </c>
      <c r="AQ116" s="44">
        <f>TRUNC(ROUND(($I116)/(1-($I116)),5)*VLOOKUP(D116,[1]apoio_Preços_MGS!$A$6:$AN$238,40,FALSE)+VLOOKUP(D116,[1]apoio_Preços_MGS!$A$6:$AN$238,40,FALSE),2)</f>
        <v>579.30999999999995</v>
      </c>
      <c r="AR116" s="45">
        <f t="shared" si="33"/>
        <v>18537.919999999998</v>
      </c>
      <c r="AS116" s="45">
        <f t="shared" si="34"/>
        <v>24662.079999999998</v>
      </c>
      <c r="AT116" s="45">
        <f t="shared" si="35"/>
        <v>1479724.7999999998</v>
      </c>
      <c r="AU116" s="62"/>
      <c r="AV116" s="46"/>
      <c r="AW116" s="47"/>
      <c r="AX116" s="48"/>
      <c r="AY116" s="49"/>
      <c r="BA116" s="48"/>
    </row>
    <row r="117" spans="1:53" ht="19.5" customHeight="1" x14ac:dyDescent="0.25">
      <c r="A117" s="33" t="str">
        <f t="shared" si="30"/>
        <v>64106440,02</v>
      </c>
      <c r="B117" s="33" t="str">
        <f t="shared" si="31"/>
        <v>2200,02</v>
      </c>
      <c r="C117" s="34" t="str">
        <f>VLOOKUP(D117,[1]apoio_Preços_MGS!$A$6:$B$238,2,FALSE)</f>
        <v>ASSISTENTE DE LOGÍSTICA</v>
      </c>
      <c r="D117" s="35">
        <v>220</v>
      </c>
      <c r="E117" s="33" t="str">
        <f>VLOOKUP(D117,[1]apoio_Preços_MGS!$A$6:$F$238,6,FALSE)</f>
        <v>ASSISTENTE DE LOGÍSTICA - DIARISTA DIURNO - 44H</v>
      </c>
      <c r="F117" s="36">
        <f>IFERROR(VLOOKUP(D117,'[1]apoio_cód catmas'!$B$2:$C$863,2,FALSE),0)</f>
        <v>64106</v>
      </c>
      <c r="G117" s="33" t="str">
        <f>IF(H117="N/A",VLOOKUP(F117&amp;40,'[1]apoio_cód catmas'!$A$1:$G$233,4,FALSE),VLOOKUP(F117&amp;H117,'[1]apoio_cód catmas'!$A$1:$G$233,4,FALSE))</f>
        <v>ASSISTENTE DE LOGISTICA - 40H OU 44H</v>
      </c>
      <c r="H117" s="36">
        <v>44</v>
      </c>
      <c r="I117" s="37">
        <v>0.02</v>
      </c>
      <c r="J117" s="38" t="s">
        <v>46</v>
      </c>
      <c r="K117" s="39">
        <v>5</v>
      </c>
      <c r="L117" s="39">
        <f t="shared" si="42"/>
        <v>300</v>
      </c>
      <c r="M117" s="40">
        <f>VLOOKUP(D117,[1]apoio_Preços_MGS!$A$6:$AN$238,18,FALSE)</f>
        <v>2540.3858688636356</v>
      </c>
      <c r="N117" s="40">
        <f>VLOOKUP(D117,[1]apoio_Preços_MGS!$A$6:$AN$238,19,FALSE)</f>
        <v>0</v>
      </c>
      <c r="O117" s="40">
        <f>VLOOKUP(D117,[1]apoio_Preços_MGS!$A$6:$AN$238,20,FALSE)</f>
        <v>0</v>
      </c>
      <c r="P117" s="40">
        <f>VLOOKUP(D117,[1]apoio_Preços_MGS!$A$6:$AN$238,21,FALSE)</f>
        <v>0</v>
      </c>
      <c r="Q117" s="40">
        <f>VLOOKUP(D117,[1]apoio_Preços_MGS!$A$6:$AN$238,22,FALSE)</f>
        <v>0</v>
      </c>
      <c r="R117" s="40">
        <f>VLOOKUP(D117,[1]apoio_Preços_MGS!$A$6:$AN$238,23,FALSE)</f>
        <v>0</v>
      </c>
      <c r="S117" s="40">
        <f>VLOOKUP(D117,[1]apoio_Preços_MGS!$A$6:$AN$238,24,FALSE)</f>
        <v>0</v>
      </c>
      <c r="T117" s="40">
        <f>VLOOKUP(D117,[1]apoio_Preços_MGS!$A$6:$AN$238,25,FALSE)</f>
        <v>0</v>
      </c>
      <c r="U117" s="40">
        <f t="shared" si="43"/>
        <v>2540.3858688636356</v>
      </c>
      <c r="V117" s="41">
        <f>VLOOKUP(D117,[1]apoio_Preços_MGS!$A$6:$AN$238,27,FALSE)</f>
        <v>0.81799999999999995</v>
      </c>
      <c r="W117" s="40">
        <f t="shared" si="44"/>
        <v>2078.0356407304539</v>
      </c>
      <c r="X117" s="40">
        <f>VLOOKUP(D117,[1]apoio_Preços_MGS!$A$6:$AN$238,29,FALSE)</f>
        <v>20.923636363636362</v>
      </c>
      <c r="Y117" s="40">
        <f>VLOOKUP(D117,[1]apoio_Preços_MGS!$A$6:$AN$238,30,FALSE)</f>
        <v>24.556898071625341</v>
      </c>
      <c r="Z117" s="40">
        <f t="shared" si="45"/>
        <v>45.480534435261703</v>
      </c>
      <c r="AA117" s="40">
        <f>VLOOKUP(D117,[1]apoio_Preços_MGS!$A$6:$AN$238,32,FALSE)</f>
        <v>4.8775408682181798</v>
      </c>
      <c r="AB117" s="40">
        <f>VLOOKUP(D117,[1]apoio_Preços_MGS!$A$6:$AN$238,33,FALSE)</f>
        <v>340.84801090909087</v>
      </c>
      <c r="AC117" s="41">
        <f>VLOOKUP(D117,[1]apoio_Preços_MGS!$A$6:$AN$238,34,FALSE)</f>
        <v>0</v>
      </c>
      <c r="AD117" s="40">
        <f>(U117+W117+Z117+AB117+AA117+VLOOKUP(C117,[1]apoio_Prec_Folha!$A:$S,7,FALSE))*AC117</f>
        <v>0</v>
      </c>
      <c r="AE117" s="42">
        <f>VLOOKUP(D117,[1]apoio_Preços_MGS!$A$6:$AN$238,36,FALSE)</f>
        <v>7.0000000000000007E-2</v>
      </c>
      <c r="AF117" s="40">
        <f>(U117+W117+Z117+AB117+AD117+AA117+VLOOKUP(C117,[1]apoio_Prec_Folha!$A:$S,7,FALSE))*AE117</f>
        <v>389.19885170646631</v>
      </c>
      <c r="AG117" s="40">
        <f t="shared" si="46"/>
        <v>5398.82</v>
      </c>
      <c r="AH117" s="43">
        <f t="shared" si="47"/>
        <v>6083.17</v>
      </c>
      <c r="AI117" s="43">
        <f t="shared" si="48"/>
        <v>30415.85</v>
      </c>
      <c r="AJ117" s="43">
        <f t="shared" si="49"/>
        <v>1824951</v>
      </c>
      <c r="AK117" s="44">
        <f>VLOOKUP(D117,[1]apoio_Preços_MGS!$A$6:$AN$238,39,FALSE)</f>
        <v>200.00000000000003</v>
      </c>
      <c r="AL117" s="44">
        <f>IF(J117="demais municípios",VLOOKUP(D117,[1]apoio_Preços_MGS!$A$6:$AN$238,39,FALSE),0)</f>
        <v>200.00000000000003</v>
      </c>
      <c r="AM117" s="44">
        <v>0</v>
      </c>
      <c r="AN117" s="45">
        <f t="shared" ref="AN117:AN121" si="54">AK117*K117</f>
        <v>1000.0000000000001</v>
      </c>
      <c r="AO117" s="44">
        <f>VLOOKUP(D117,[1]apoio_Preços_MGS!$A$6:$AN$238,40,FALSE)</f>
        <v>550.35</v>
      </c>
      <c r="AP117" s="44">
        <f>IF(J117="demais municípios",VLOOKUP(D117,[1]apoio_Preços_MGS!$A$6:$AN$238,40,FALSE),0)</f>
        <v>550.35</v>
      </c>
      <c r="AQ117" s="44">
        <v>0</v>
      </c>
      <c r="AR117" s="45">
        <f t="shared" ref="AR117:AR121" si="55">AO117*K117</f>
        <v>2751.75</v>
      </c>
      <c r="AS117" s="45">
        <f t="shared" si="34"/>
        <v>3751.75</v>
      </c>
      <c r="AT117" s="45">
        <f t="shared" si="35"/>
        <v>225105</v>
      </c>
      <c r="AU117" s="62"/>
      <c r="AV117" s="46"/>
      <c r="AW117" s="47"/>
      <c r="AX117" s="48"/>
      <c r="AY117" s="49"/>
      <c r="BA117" s="48"/>
    </row>
    <row r="118" spans="1:53" ht="19.5" customHeight="1" x14ac:dyDescent="0.25">
      <c r="A118" s="33" t="str">
        <f t="shared" si="30"/>
        <v>64106440,03</v>
      </c>
      <c r="B118" s="33" t="str">
        <f t="shared" si="31"/>
        <v>2200,03</v>
      </c>
      <c r="C118" s="34" t="str">
        <f>VLOOKUP(D118,[1]apoio_Preços_MGS!$A$6:$B$238,2,FALSE)</f>
        <v>ASSISTENTE DE LOGÍSTICA</v>
      </c>
      <c r="D118" s="35">
        <v>220</v>
      </c>
      <c r="E118" s="33" t="str">
        <f>VLOOKUP(D118,[1]apoio_Preços_MGS!$A$6:$F$238,6,FALSE)</f>
        <v>ASSISTENTE DE LOGÍSTICA - DIARISTA DIURNO - 44H</v>
      </c>
      <c r="F118" s="36">
        <f>IFERROR(VLOOKUP(D118,'[1]apoio_cód catmas'!$B$2:$C$863,2,FALSE),0)</f>
        <v>64106</v>
      </c>
      <c r="G118" s="33" t="str">
        <f>IF(H118="N/A",VLOOKUP(F118&amp;40,'[1]apoio_cód catmas'!$A$1:$G$233,4,FALSE),VLOOKUP(F118&amp;H118,'[1]apoio_cód catmas'!$A$1:$G$233,4,FALSE))</f>
        <v>ASSISTENTE DE LOGISTICA - 40H OU 44H</v>
      </c>
      <c r="H118" s="36">
        <v>44</v>
      </c>
      <c r="I118" s="37">
        <v>0.03</v>
      </c>
      <c r="J118" s="38" t="s">
        <v>46</v>
      </c>
      <c r="K118" s="39">
        <f>71-1</f>
        <v>70</v>
      </c>
      <c r="L118" s="39">
        <f t="shared" si="42"/>
        <v>4200</v>
      </c>
      <c r="M118" s="40">
        <f>VLOOKUP(D118,[1]apoio_Preços_MGS!$A$6:$AN$238,18,FALSE)</f>
        <v>2540.3858688636356</v>
      </c>
      <c r="N118" s="40">
        <f>VLOOKUP(D118,[1]apoio_Preços_MGS!$A$6:$AN$238,19,FALSE)</f>
        <v>0</v>
      </c>
      <c r="O118" s="40">
        <f>VLOOKUP(D118,[1]apoio_Preços_MGS!$A$6:$AN$238,20,FALSE)</f>
        <v>0</v>
      </c>
      <c r="P118" s="40">
        <f>VLOOKUP(D118,[1]apoio_Preços_MGS!$A$6:$AN$238,21,FALSE)</f>
        <v>0</v>
      </c>
      <c r="Q118" s="40">
        <f>VLOOKUP(D118,[1]apoio_Preços_MGS!$A$6:$AN$238,22,FALSE)</f>
        <v>0</v>
      </c>
      <c r="R118" s="40">
        <f>VLOOKUP(D118,[1]apoio_Preços_MGS!$A$6:$AN$238,23,FALSE)</f>
        <v>0</v>
      </c>
      <c r="S118" s="40">
        <f>VLOOKUP(D118,[1]apoio_Preços_MGS!$A$6:$AN$238,24,FALSE)</f>
        <v>0</v>
      </c>
      <c r="T118" s="40">
        <f>VLOOKUP(D118,[1]apoio_Preços_MGS!$A$6:$AN$238,25,FALSE)</f>
        <v>0</v>
      </c>
      <c r="U118" s="40">
        <f t="shared" si="43"/>
        <v>2540.3858688636356</v>
      </c>
      <c r="V118" s="41">
        <f>VLOOKUP(D118,[1]apoio_Preços_MGS!$A$6:$AN$238,27,FALSE)</f>
        <v>0.81799999999999995</v>
      </c>
      <c r="W118" s="40">
        <f t="shared" si="44"/>
        <v>2078.0356407304539</v>
      </c>
      <c r="X118" s="40">
        <f>VLOOKUP(D118,[1]apoio_Preços_MGS!$A$6:$AN$238,29,FALSE)</f>
        <v>20.923636363636362</v>
      </c>
      <c r="Y118" s="40">
        <f>VLOOKUP(D118,[1]apoio_Preços_MGS!$A$6:$AN$238,30,FALSE)</f>
        <v>24.556898071625341</v>
      </c>
      <c r="Z118" s="40">
        <f t="shared" si="45"/>
        <v>45.480534435261703</v>
      </c>
      <c r="AA118" s="40">
        <f>VLOOKUP(D118,[1]apoio_Preços_MGS!$A$6:$AN$238,32,FALSE)</f>
        <v>4.8775408682181798</v>
      </c>
      <c r="AB118" s="40">
        <f>VLOOKUP(D118,[1]apoio_Preços_MGS!$A$6:$AN$238,33,FALSE)</f>
        <v>340.84801090909087</v>
      </c>
      <c r="AC118" s="41">
        <f>VLOOKUP(D118,[1]apoio_Preços_MGS!$A$6:$AN$238,34,FALSE)</f>
        <v>0</v>
      </c>
      <c r="AD118" s="40">
        <f>(U118+W118+Z118+AB118+AA118+VLOOKUP(C118,[1]apoio_Prec_Folha!$A:$S,7,FALSE))*AC118</f>
        <v>0</v>
      </c>
      <c r="AE118" s="42">
        <f>VLOOKUP(D118,[1]apoio_Preços_MGS!$A$6:$AN$238,36,FALSE)</f>
        <v>7.0000000000000007E-2</v>
      </c>
      <c r="AF118" s="40">
        <f>(U118+W118+Z118+AB118+AD118+AA118+VLOOKUP(C118,[1]apoio_Prec_Folha!$A:$S,7,FALSE))*AE118</f>
        <v>389.19885170646631</v>
      </c>
      <c r="AG118" s="40">
        <f t="shared" si="46"/>
        <v>5398.82</v>
      </c>
      <c r="AH118" s="43">
        <f t="shared" si="47"/>
        <v>6152.49</v>
      </c>
      <c r="AI118" s="43">
        <f t="shared" si="48"/>
        <v>430674.3</v>
      </c>
      <c r="AJ118" s="43">
        <f t="shared" si="49"/>
        <v>25840458</v>
      </c>
      <c r="AK118" s="44">
        <f>VLOOKUP(D118,[1]apoio_Preços_MGS!$A$6:$AN$238,39,FALSE)</f>
        <v>200.00000000000003</v>
      </c>
      <c r="AL118" s="44">
        <f>IF(J118="demais municípios",VLOOKUP(D118,[1]apoio_Preços_MGS!$A$6:$AN$238,39,FALSE),0)</f>
        <v>200.00000000000003</v>
      </c>
      <c r="AM118" s="44">
        <v>0</v>
      </c>
      <c r="AN118" s="45">
        <f t="shared" si="54"/>
        <v>14000.000000000002</v>
      </c>
      <c r="AO118" s="44">
        <f>VLOOKUP(D118,[1]apoio_Preços_MGS!$A$6:$AN$238,40,FALSE)</f>
        <v>550.35</v>
      </c>
      <c r="AP118" s="44">
        <f>IF(J118="demais municípios",VLOOKUP(D118,[1]apoio_Preços_MGS!$A$6:$AN$238,40,FALSE),0)</f>
        <v>550.35</v>
      </c>
      <c r="AQ118" s="44">
        <v>0</v>
      </c>
      <c r="AR118" s="45">
        <f t="shared" si="55"/>
        <v>38524.5</v>
      </c>
      <c r="AS118" s="45">
        <f t="shared" si="34"/>
        <v>52524.5</v>
      </c>
      <c r="AT118" s="45">
        <f t="shared" si="35"/>
        <v>3151470</v>
      </c>
      <c r="AU118" s="62"/>
      <c r="AV118" s="46"/>
      <c r="AW118" s="47"/>
      <c r="AX118" s="48"/>
      <c r="AY118" s="49"/>
      <c r="BA118" s="48"/>
    </row>
    <row r="119" spans="1:53" ht="19.5" customHeight="1" x14ac:dyDescent="0.25">
      <c r="A119" s="33" t="str">
        <f t="shared" si="30"/>
        <v>64106440,035</v>
      </c>
      <c r="B119" s="33" t="str">
        <f t="shared" si="31"/>
        <v>2200,035</v>
      </c>
      <c r="C119" s="34" t="str">
        <f>VLOOKUP(D119,[1]apoio_Preços_MGS!$A$6:$B$238,2,FALSE)</f>
        <v>ASSISTENTE DE LOGÍSTICA</v>
      </c>
      <c r="D119" s="35">
        <v>220</v>
      </c>
      <c r="E119" s="33" t="str">
        <f>VLOOKUP(D119,[1]apoio_Preços_MGS!$A$6:$F$238,6,FALSE)</f>
        <v>ASSISTENTE DE LOGÍSTICA - DIARISTA DIURNO - 44H</v>
      </c>
      <c r="F119" s="36">
        <f>IFERROR(VLOOKUP(D119,'[1]apoio_cód catmas'!$B$2:$C$863,2,FALSE),0)</f>
        <v>64106</v>
      </c>
      <c r="G119" s="33" t="str">
        <f>IF(H119="N/A",VLOOKUP(F119&amp;40,'[1]apoio_cód catmas'!$A$1:$G$233,4,FALSE),VLOOKUP(F119&amp;H119,'[1]apoio_cód catmas'!$A$1:$G$233,4,FALSE))</f>
        <v>ASSISTENTE DE LOGISTICA - 40H OU 44H</v>
      </c>
      <c r="H119" s="36">
        <v>44</v>
      </c>
      <c r="I119" s="37">
        <v>3.5000000000000003E-2</v>
      </c>
      <c r="J119" s="38" t="s">
        <v>46</v>
      </c>
      <c r="K119" s="39">
        <v>4</v>
      </c>
      <c r="L119" s="39">
        <f t="shared" si="42"/>
        <v>240</v>
      </c>
      <c r="M119" s="40">
        <f>VLOOKUP(D119,[1]apoio_Preços_MGS!$A$6:$AN$238,18,FALSE)</f>
        <v>2540.3858688636356</v>
      </c>
      <c r="N119" s="40">
        <f>VLOOKUP(D119,[1]apoio_Preços_MGS!$A$6:$AN$238,19,FALSE)</f>
        <v>0</v>
      </c>
      <c r="O119" s="40">
        <f>VLOOKUP(D119,[1]apoio_Preços_MGS!$A$6:$AN$238,20,FALSE)</f>
        <v>0</v>
      </c>
      <c r="P119" s="40">
        <f>VLOOKUP(D119,[1]apoio_Preços_MGS!$A$6:$AN$238,21,FALSE)</f>
        <v>0</v>
      </c>
      <c r="Q119" s="40">
        <f>VLOOKUP(D119,[1]apoio_Preços_MGS!$A$6:$AN$238,22,FALSE)</f>
        <v>0</v>
      </c>
      <c r="R119" s="40">
        <f>VLOOKUP(D119,[1]apoio_Preços_MGS!$A$6:$AN$238,23,FALSE)</f>
        <v>0</v>
      </c>
      <c r="S119" s="40">
        <f>VLOOKUP(D119,[1]apoio_Preços_MGS!$A$6:$AN$238,24,FALSE)</f>
        <v>0</v>
      </c>
      <c r="T119" s="40">
        <f>VLOOKUP(D119,[1]apoio_Preços_MGS!$A$6:$AN$238,25,FALSE)</f>
        <v>0</v>
      </c>
      <c r="U119" s="40">
        <f t="shared" si="43"/>
        <v>2540.3858688636356</v>
      </c>
      <c r="V119" s="41">
        <f>VLOOKUP(D119,[1]apoio_Preços_MGS!$A$6:$AN$238,27,FALSE)</f>
        <v>0.81799999999999995</v>
      </c>
      <c r="W119" s="40">
        <f t="shared" si="44"/>
        <v>2078.0356407304539</v>
      </c>
      <c r="X119" s="40">
        <f>VLOOKUP(D119,[1]apoio_Preços_MGS!$A$6:$AN$238,29,FALSE)</f>
        <v>20.923636363636362</v>
      </c>
      <c r="Y119" s="40">
        <f>VLOOKUP(D119,[1]apoio_Preços_MGS!$A$6:$AN$238,30,FALSE)</f>
        <v>24.556898071625341</v>
      </c>
      <c r="Z119" s="40">
        <f t="shared" si="45"/>
        <v>45.480534435261703</v>
      </c>
      <c r="AA119" s="40">
        <f>VLOOKUP(D119,[1]apoio_Preços_MGS!$A$6:$AN$238,32,FALSE)</f>
        <v>4.8775408682181798</v>
      </c>
      <c r="AB119" s="40">
        <f>VLOOKUP(D119,[1]apoio_Preços_MGS!$A$6:$AN$238,33,FALSE)</f>
        <v>340.84801090909087</v>
      </c>
      <c r="AC119" s="41">
        <f>VLOOKUP(D119,[1]apoio_Preços_MGS!$A$6:$AN$238,34,FALSE)</f>
        <v>0</v>
      </c>
      <c r="AD119" s="40">
        <f>(U119+W119+Z119+AB119+AA119+VLOOKUP(C119,[1]apoio_Prec_Folha!$A:$S,7,FALSE))*AC119</f>
        <v>0</v>
      </c>
      <c r="AE119" s="42">
        <f>VLOOKUP(D119,[1]apoio_Preços_MGS!$A$6:$AN$238,36,FALSE)</f>
        <v>7.0000000000000007E-2</v>
      </c>
      <c r="AF119" s="40">
        <f>(U119+W119+Z119+AB119+AD119+AA119+VLOOKUP(C119,[1]apoio_Prec_Folha!$A:$S,7,FALSE))*AE119</f>
        <v>389.19885170646631</v>
      </c>
      <c r="AG119" s="40">
        <f t="shared" si="46"/>
        <v>5398.82</v>
      </c>
      <c r="AH119" s="43">
        <f t="shared" si="47"/>
        <v>6187.74</v>
      </c>
      <c r="AI119" s="43">
        <f t="shared" si="48"/>
        <v>24750.959999999999</v>
      </c>
      <c r="AJ119" s="43">
        <f t="shared" si="49"/>
        <v>1485057.5999999999</v>
      </c>
      <c r="AK119" s="44">
        <f>VLOOKUP(D119,[1]apoio_Preços_MGS!$A$6:$AN$238,39,FALSE)</f>
        <v>200.00000000000003</v>
      </c>
      <c r="AL119" s="44">
        <f>IF(J119="demais municípios",VLOOKUP(D119,[1]apoio_Preços_MGS!$A$6:$AN$238,39,FALSE),0)</f>
        <v>200.00000000000003</v>
      </c>
      <c r="AM119" s="44">
        <v>0</v>
      </c>
      <c r="AN119" s="45">
        <f t="shared" si="54"/>
        <v>800.00000000000011</v>
      </c>
      <c r="AO119" s="44">
        <f>VLOOKUP(D119,[1]apoio_Preços_MGS!$A$6:$AN$238,40,FALSE)</f>
        <v>550.35</v>
      </c>
      <c r="AP119" s="44">
        <f>IF(J119="demais municípios",VLOOKUP(D119,[1]apoio_Preços_MGS!$A$6:$AN$238,40,FALSE),0)</f>
        <v>550.35</v>
      </c>
      <c r="AQ119" s="44">
        <v>0</v>
      </c>
      <c r="AR119" s="45">
        <f t="shared" si="55"/>
        <v>2201.4</v>
      </c>
      <c r="AS119" s="45">
        <f t="shared" si="34"/>
        <v>3001.4</v>
      </c>
      <c r="AT119" s="45">
        <f t="shared" si="35"/>
        <v>180084</v>
      </c>
      <c r="AU119" s="62"/>
      <c r="AV119" s="46"/>
      <c r="AW119" s="47"/>
      <c r="AX119" s="48"/>
      <c r="AY119" s="49"/>
      <c r="BA119" s="48"/>
    </row>
    <row r="120" spans="1:53" ht="19.5" customHeight="1" x14ac:dyDescent="0.25">
      <c r="A120" s="33" t="str">
        <f t="shared" si="30"/>
        <v>64106440,04</v>
      </c>
      <c r="B120" s="33" t="str">
        <f t="shared" si="31"/>
        <v>2200,04</v>
      </c>
      <c r="C120" s="34" t="str">
        <f>VLOOKUP(D120,[1]apoio_Preços_MGS!$A$6:$B$238,2,FALSE)</f>
        <v>ASSISTENTE DE LOGÍSTICA</v>
      </c>
      <c r="D120" s="35">
        <v>220</v>
      </c>
      <c r="E120" s="33" t="str">
        <f>VLOOKUP(D120,[1]apoio_Preços_MGS!$A$6:$F$238,6,FALSE)</f>
        <v>ASSISTENTE DE LOGÍSTICA - DIARISTA DIURNO - 44H</v>
      </c>
      <c r="F120" s="36">
        <f>IFERROR(VLOOKUP(D120,'[1]apoio_cód catmas'!$B$2:$C$863,2,FALSE),0)</f>
        <v>64106</v>
      </c>
      <c r="G120" s="33" t="str">
        <f>IF(H120="N/A",VLOOKUP(F120&amp;40,'[1]apoio_cód catmas'!$A$1:$G$233,4,FALSE),VLOOKUP(F120&amp;H120,'[1]apoio_cód catmas'!$A$1:$G$233,4,FALSE))</f>
        <v>ASSISTENTE DE LOGISTICA - 40H OU 44H</v>
      </c>
      <c r="H120" s="36">
        <v>44</v>
      </c>
      <c r="I120" s="37">
        <v>0.04</v>
      </c>
      <c r="J120" s="38" t="s">
        <v>46</v>
      </c>
      <c r="K120" s="39">
        <v>1</v>
      </c>
      <c r="L120" s="39">
        <f t="shared" si="42"/>
        <v>60</v>
      </c>
      <c r="M120" s="40">
        <f>VLOOKUP(D120,[1]apoio_Preços_MGS!$A$6:$AN$238,18,FALSE)</f>
        <v>2540.3858688636356</v>
      </c>
      <c r="N120" s="40">
        <f>VLOOKUP(D120,[1]apoio_Preços_MGS!$A$6:$AN$238,19,FALSE)</f>
        <v>0</v>
      </c>
      <c r="O120" s="40">
        <f>VLOOKUP(D120,[1]apoio_Preços_MGS!$A$6:$AN$238,20,FALSE)</f>
        <v>0</v>
      </c>
      <c r="P120" s="40">
        <f>VLOOKUP(D120,[1]apoio_Preços_MGS!$A$6:$AN$238,21,FALSE)</f>
        <v>0</v>
      </c>
      <c r="Q120" s="40">
        <f>VLOOKUP(D120,[1]apoio_Preços_MGS!$A$6:$AN$238,22,FALSE)</f>
        <v>0</v>
      </c>
      <c r="R120" s="40">
        <f>VLOOKUP(D120,[1]apoio_Preços_MGS!$A$6:$AN$238,23,FALSE)</f>
        <v>0</v>
      </c>
      <c r="S120" s="40">
        <f>VLOOKUP(D120,[1]apoio_Preços_MGS!$A$6:$AN$238,24,FALSE)</f>
        <v>0</v>
      </c>
      <c r="T120" s="40">
        <f>VLOOKUP(D120,[1]apoio_Preços_MGS!$A$6:$AN$238,25,FALSE)</f>
        <v>0</v>
      </c>
      <c r="U120" s="40">
        <f t="shared" si="43"/>
        <v>2540.3858688636356</v>
      </c>
      <c r="V120" s="41">
        <f>VLOOKUP(D120,[1]apoio_Preços_MGS!$A$6:$AN$238,27,FALSE)</f>
        <v>0.81799999999999995</v>
      </c>
      <c r="W120" s="40">
        <f t="shared" si="44"/>
        <v>2078.0356407304539</v>
      </c>
      <c r="X120" s="40">
        <f>VLOOKUP(D120,[1]apoio_Preços_MGS!$A$6:$AN$238,29,FALSE)</f>
        <v>20.923636363636362</v>
      </c>
      <c r="Y120" s="40">
        <f>VLOOKUP(D120,[1]apoio_Preços_MGS!$A$6:$AN$238,30,FALSE)</f>
        <v>24.556898071625341</v>
      </c>
      <c r="Z120" s="40">
        <f t="shared" si="45"/>
        <v>45.480534435261703</v>
      </c>
      <c r="AA120" s="40">
        <f>VLOOKUP(D120,[1]apoio_Preços_MGS!$A$6:$AN$238,32,FALSE)</f>
        <v>4.8775408682181798</v>
      </c>
      <c r="AB120" s="40">
        <f>VLOOKUP(D120,[1]apoio_Preços_MGS!$A$6:$AN$238,33,FALSE)</f>
        <v>340.84801090909087</v>
      </c>
      <c r="AC120" s="41">
        <f>VLOOKUP(D120,[1]apoio_Preços_MGS!$A$6:$AN$238,34,FALSE)</f>
        <v>0</v>
      </c>
      <c r="AD120" s="40">
        <f>(U120+W120+Z120+AB120+AA120+VLOOKUP(C120,[1]apoio_Prec_Folha!$A:$S,7,FALSE))*AC120</f>
        <v>0</v>
      </c>
      <c r="AE120" s="42">
        <f>VLOOKUP(D120,[1]apoio_Preços_MGS!$A$6:$AN$238,36,FALSE)</f>
        <v>7.0000000000000007E-2</v>
      </c>
      <c r="AF120" s="40">
        <f>(U120+W120+Z120+AB120+AD120+AA120+VLOOKUP(C120,[1]apoio_Prec_Folha!$A:$S,7,FALSE))*AE120</f>
        <v>389.19885170646631</v>
      </c>
      <c r="AG120" s="40">
        <f t="shared" si="46"/>
        <v>5398.82</v>
      </c>
      <c r="AH120" s="43">
        <f t="shared" si="47"/>
        <v>6223.43</v>
      </c>
      <c r="AI120" s="43">
        <f t="shared" si="48"/>
        <v>6223.43</v>
      </c>
      <c r="AJ120" s="43">
        <f t="shared" si="49"/>
        <v>373405.80000000005</v>
      </c>
      <c r="AK120" s="44">
        <f>VLOOKUP(D120,[1]apoio_Preços_MGS!$A$6:$AN$238,39,FALSE)</f>
        <v>200.00000000000003</v>
      </c>
      <c r="AL120" s="44">
        <f>IF(J120="demais municípios",VLOOKUP(D120,[1]apoio_Preços_MGS!$A$6:$AN$238,39,FALSE),0)</f>
        <v>200.00000000000003</v>
      </c>
      <c r="AM120" s="44">
        <v>0</v>
      </c>
      <c r="AN120" s="45">
        <f t="shared" si="54"/>
        <v>200.00000000000003</v>
      </c>
      <c r="AO120" s="44">
        <f>VLOOKUP(D120,[1]apoio_Preços_MGS!$A$6:$AN$238,40,FALSE)</f>
        <v>550.35</v>
      </c>
      <c r="AP120" s="44">
        <f>IF(J120="demais municípios",VLOOKUP(D120,[1]apoio_Preços_MGS!$A$6:$AN$238,40,FALSE),0)</f>
        <v>550.35</v>
      </c>
      <c r="AQ120" s="44">
        <v>0</v>
      </c>
      <c r="AR120" s="45">
        <f t="shared" si="55"/>
        <v>550.35</v>
      </c>
      <c r="AS120" s="45">
        <f t="shared" si="34"/>
        <v>750.35</v>
      </c>
      <c r="AT120" s="45">
        <f t="shared" si="35"/>
        <v>45021</v>
      </c>
      <c r="AU120" s="62"/>
      <c r="AV120" s="46"/>
      <c r="AW120" s="47"/>
      <c r="AX120" s="48"/>
      <c r="AY120" s="49"/>
      <c r="BA120" s="48"/>
    </row>
    <row r="121" spans="1:53" ht="19.5" customHeight="1" x14ac:dyDescent="0.25">
      <c r="A121" s="33" t="str">
        <f t="shared" si="30"/>
        <v>64106440,05</v>
      </c>
      <c r="B121" s="33" t="str">
        <f t="shared" si="31"/>
        <v>2200,05</v>
      </c>
      <c r="C121" s="34" t="str">
        <f>VLOOKUP(D121,[1]apoio_Preços_MGS!$A$6:$B$238,2,FALSE)</f>
        <v>ASSISTENTE DE LOGÍSTICA</v>
      </c>
      <c r="D121" s="35">
        <v>220</v>
      </c>
      <c r="E121" s="33" t="str">
        <f>VLOOKUP(D121,[1]apoio_Preços_MGS!$A$6:$F$238,6,FALSE)</f>
        <v>ASSISTENTE DE LOGÍSTICA - DIARISTA DIURNO - 44H</v>
      </c>
      <c r="F121" s="36">
        <f>IFERROR(VLOOKUP(D121,'[1]apoio_cód catmas'!$B$2:$C$863,2,FALSE),0)</f>
        <v>64106</v>
      </c>
      <c r="G121" s="33" t="str">
        <f>IF(H121="N/A",VLOOKUP(F121&amp;40,'[1]apoio_cód catmas'!$A$1:$G$233,4,FALSE),VLOOKUP(F121&amp;H121,'[1]apoio_cód catmas'!$A$1:$G$233,4,FALSE))</f>
        <v>ASSISTENTE DE LOGISTICA - 40H OU 44H</v>
      </c>
      <c r="H121" s="36">
        <v>44</v>
      </c>
      <c r="I121" s="37">
        <v>0.05</v>
      </c>
      <c r="J121" s="38" t="s">
        <v>46</v>
      </c>
      <c r="K121" s="39">
        <v>1</v>
      </c>
      <c r="L121" s="39">
        <f t="shared" si="42"/>
        <v>60</v>
      </c>
      <c r="M121" s="40">
        <f>VLOOKUP(D121,[1]apoio_Preços_MGS!$A$6:$AN$238,18,FALSE)</f>
        <v>2540.3858688636356</v>
      </c>
      <c r="N121" s="40">
        <f>VLOOKUP(D121,[1]apoio_Preços_MGS!$A$6:$AN$238,19,FALSE)</f>
        <v>0</v>
      </c>
      <c r="O121" s="40">
        <f>VLOOKUP(D121,[1]apoio_Preços_MGS!$A$6:$AN$238,20,FALSE)</f>
        <v>0</v>
      </c>
      <c r="P121" s="40">
        <f>VLOOKUP(D121,[1]apoio_Preços_MGS!$A$6:$AN$238,21,FALSE)</f>
        <v>0</v>
      </c>
      <c r="Q121" s="40">
        <f>VLOOKUP(D121,[1]apoio_Preços_MGS!$A$6:$AN$238,22,FALSE)</f>
        <v>0</v>
      </c>
      <c r="R121" s="40">
        <f>VLOOKUP(D121,[1]apoio_Preços_MGS!$A$6:$AN$238,23,FALSE)</f>
        <v>0</v>
      </c>
      <c r="S121" s="40">
        <f>VLOOKUP(D121,[1]apoio_Preços_MGS!$A$6:$AN$238,24,FALSE)</f>
        <v>0</v>
      </c>
      <c r="T121" s="40">
        <f>VLOOKUP(D121,[1]apoio_Preços_MGS!$A$6:$AN$238,25,FALSE)</f>
        <v>0</v>
      </c>
      <c r="U121" s="40">
        <f t="shared" si="43"/>
        <v>2540.3858688636356</v>
      </c>
      <c r="V121" s="41">
        <f>VLOOKUP(D121,[1]apoio_Preços_MGS!$A$6:$AN$238,27,FALSE)</f>
        <v>0.81799999999999995</v>
      </c>
      <c r="W121" s="40">
        <f t="shared" si="44"/>
        <v>2078.0356407304539</v>
      </c>
      <c r="X121" s="40">
        <f>VLOOKUP(D121,[1]apoio_Preços_MGS!$A$6:$AN$238,29,FALSE)</f>
        <v>20.923636363636362</v>
      </c>
      <c r="Y121" s="40">
        <f>VLOOKUP(D121,[1]apoio_Preços_MGS!$A$6:$AN$238,30,FALSE)</f>
        <v>24.556898071625341</v>
      </c>
      <c r="Z121" s="40">
        <f t="shared" si="45"/>
        <v>45.480534435261703</v>
      </c>
      <c r="AA121" s="40">
        <f>VLOOKUP(D121,[1]apoio_Preços_MGS!$A$6:$AN$238,32,FALSE)</f>
        <v>4.8775408682181798</v>
      </c>
      <c r="AB121" s="40">
        <f>VLOOKUP(D121,[1]apoio_Preços_MGS!$A$6:$AN$238,33,FALSE)</f>
        <v>340.84801090909087</v>
      </c>
      <c r="AC121" s="41">
        <f>VLOOKUP(D121,[1]apoio_Preços_MGS!$A$6:$AN$238,34,FALSE)</f>
        <v>0</v>
      </c>
      <c r="AD121" s="40">
        <f>(U121+W121+Z121+AB121+AA121+VLOOKUP(C121,[1]apoio_Prec_Folha!$A:$S,7,FALSE))*AC121</f>
        <v>0</v>
      </c>
      <c r="AE121" s="42">
        <f>VLOOKUP(D121,[1]apoio_Preços_MGS!$A$6:$AN$238,36,FALSE)</f>
        <v>7.0000000000000007E-2</v>
      </c>
      <c r="AF121" s="40">
        <f>(U121+W121+Z121+AB121+AD121+AA121+VLOOKUP(C121,[1]apoio_Prec_Folha!$A:$S,7,FALSE))*AE121</f>
        <v>389.19885170646631</v>
      </c>
      <c r="AG121" s="40">
        <f t="shared" si="46"/>
        <v>5398.82</v>
      </c>
      <c r="AH121" s="43">
        <f t="shared" si="47"/>
        <v>6295.99</v>
      </c>
      <c r="AI121" s="43">
        <f t="shared" si="48"/>
        <v>6295.99</v>
      </c>
      <c r="AJ121" s="43">
        <f t="shared" si="49"/>
        <v>377759.39999999997</v>
      </c>
      <c r="AK121" s="44">
        <f>VLOOKUP(D121,[1]apoio_Preços_MGS!$A$6:$AN$238,39,FALSE)</f>
        <v>200.00000000000003</v>
      </c>
      <c r="AL121" s="44">
        <f>IF(J121="demais municípios",VLOOKUP(D121,[1]apoio_Preços_MGS!$A$6:$AN$238,39,FALSE),0)</f>
        <v>200.00000000000003</v>
      </c>
      <c r="AM121" s="44">
        <v>0</v>
      </c>
      <c r="AN121" s="45">
        <f t="shared" si="54"/>
        <v>200.00000000000003</v>
      </c>
      <c r="AO121" s="44">
        <f>VLOOKUP(D121,[1]apoio_Preços_MGS!$A$6:$AN$238,40,FALSE)</f>
        <v>550.35</v>
      </c>
      <c r="AP121" s="44">
        <f>IF(J121="demais municípios",VLOOKUP(D121,[1]apoio_Preços_MGS!$A$6:$AN$238,40,FALSE),0)</f>
        <v>550.35</v>
      </c>
      <c r="AQ121" s="44">
        <v>0</v>
      </c>
      <c r="AR121" s="45">
        <f t="shared" si="55"/>
        <v>550.35</v>
      </c>
      <c r="AS121" s="45">
        <f t="shared" si="34"/>
        <v>750.35</v>
      </c>
      <c r="AT121" s="45">
        <f t="shared" si="35"/>
        <v>45021</v>
      </c>
      <c r="AU121" s="62"/>
      <c r="AV121" s="46"/>
      <c r="AW121" s="47"/>
      <c r="AX121" s="48"/>
      <c r="AY121" s="49"/>
      <c r="BA121" s="48"/>
    </row>
    <row r="122" spans="1:53" ht="19.5" customHeight="1" x14ac:dyDescent="0.25">
      <c r="A122" s="33" t="str">
        <f t="shared" si="30"/>
        <v>64106440,05</v>
      </c>
      <c r="B122" s="33" t="str">
        <f t="shared" si="31"/>
        <v>2200,05</v>
      </c>
      <c r="C122" s="34" t="str">
        <f>VLOOKUP(D122,[1]apoio_Preços_MGS!$A$6:$B$238,2,FALSE)</f>
        <v>ASSISTENTE DE LOGÍSTICA</v>
      </c>
      <c r="D122" s="35">
        <v>220</v>
      </c>
      <c r="E122" s="33" t="str">
        <f>VLOOKUP(D122,[1]apoio_Preços_MGS!$A$6:$F$238,6,FALSE)</f>
        <v>ASSISTENTE DE LOGÍSTICA - DIARISTA DIURNO - 44H</v>
      </c>
      <c r="F122" s="36">
        <f>IFERROR(VLOOKUP(D122,'[1]apoio_cód catmas'!$B$2:$C$863,2,FALSE),0)</f>
        <v>64106</v>
      </c>
      <c r="G122" s="33" t="str">
        <f>IF(H122="N/A",VLOOKUP(F122&amp;40,'[1]apoio_cód catmas'!$A$1:$G$233,4,FALSE),VLOOKUP(F122&amp;H122,'[1]apoio_cód catmas'!$A$1:$G$233,4,FALSE))</f>
        <v>ASSISTENTE DE LOGISTICA - 40H OU 44H</v>
      </c>
      <c r="H122" s="36">
        <v>44</v>
      </c>
      <c r="I122" s="37">
        <v>0.05</v>
      </c>
      <c r="J122" s="38" t="s">
        <v>47</v>
      </c>
      <c r="K122" s="39">
        <v>16</v>
      </c>
      <c r="L122" s="39">
        <f t="shared" si="42"/>
        <v>960</v>
      </c>
      <c r="M122" s="40">
        <f>VLOOKUP(D122,[1]apoio_Preços_MGS!$A$6:$AN$238,18,FALSE)</f>
        <v>2540.3858688636356</v>
      </c>
      <c r="N122" s="40">
        <f>VLOOKUP(D122,[1]apoio_Preços_MGS!$A$6:$AN$238,19,FALSE)</f>
        <v>0</v>
      </c>
      <c r="O122" s="40">
        <f>VLOOKUP(D122,[1]apoio_Preços_MGS!$A$6:$AN$238,20,FALSE)</f>
        <v>0</v>
      </c>
      <c r="P122" s="40">
        <f>VLOOKUP(D122,[1]apoio_Preços_MGS!$A$6:$AN$238,21,FALSE)</f>
        <v>0</v>
      </c>
      <c r="Q122" s="40">
        <f>VLOOKUP(D122,[1]apoio_Preços_MGS!$A$6:$AN$238,22,FALSE)</f>
        <v>0</v>
      </c>
      <c r="R122" s="40">
        <f>VLOOKUP(D122,[1]apoio_Preços_MGS!$A$6:$AN$238,23,FALSE)</f>
        <v>0</v>
      </c>
      <c r="S122" s="40">
        <f>VLOOKUP(D122,[1]apoio_Preços_MGS!$A$6:$AN$238,24,FALSE)</f>
        <v>0</v>
      </c>
      <c r="T122" s="40">
        <f>VLOOKUP(D122,[1]apoio_Preços_MGS!$A$6:$AN$238,25,FALSE)</f>
        <v>0</v>
      </c>
      <c r="U122" s="40">
        <f t="shared" si="43"/>
        <v>2540.3858688636356</v>
      </c>
      <c r="V122" s="41">
        <f>VLOOKUP(D122,[1]apoio_Preços_MGS!$A$6:$AN$238,27,FALSE)</f>
        <v>0.81799999999999995</v>
      </c>
      <c r="W122" s="40">
        <f t="shared" si="44"/>
        <v>2078.0356407304539</v>
      </c>
      <c r="X122" s="40">
        <f>VLOOKUP(D122,[1]apoio_Preços_MGS!$A$6:$AN$238,29,FALSE)</f>
        <v>20.923636363636362</v>
      </c>
      <c r="Y122" s="40">
        <f>VLOOKUP(D122,[1]apoio_Preços_MGS!$A$6:$AN$238,30,FALSE)</f>
        <v>24.556898071625341</v>
      </c>
      <c r="Z122" s="40">
        <f t="shared" si="45"/>
        <v>45.480534435261703</v>
      </c>
      <c r="AA122" s="40">
        <f>VLOOKUP(D122,[1]apoio_Preços_MGS!$A$6:$AN$238,32,FALSE)</f>
        <v>4.8775408682181798</v>
      </c>
      <c r="AB122" s="40">
        <f>VLOOKUP(D122,[1]apoio_Preços_MGS!$A$6:$AN$238,33,FALSE)</f>
        <v>340.84801090909087</v>
      </c>
      <c r="AC122" s="41">
        <f>VLOOKUP(D122,[1]apoio_Preços_MGS!$A$6:$AN$238,34,FALSE)</f>
        <v>0</v>
      </c>
      <c r="AD122" s="40">
        <f>(U122+W122+Z122+AB122+AA122+VLOOKUP(C122,[1]apoio_Prec_Folha!$A:$S,7,FALSE))*AC122</f>
        <v>0</v>
      </c>
      <c r="AE122" s="42">
        <f>VLOOKUP(D122,[1]apoio_Preços_MGS!$A$6:$AN$238,36,FALSE)</f>
        <v>7.0000000000000007E-2</v>
      </c>
      <c r="AF122" s="40">
        <f>(U122+W122+Z122+AB122+AD122+AA122+VLOOKUP(C122,[1]apoio_Prec_Folha!$A:$S,7,FALSE))*AE122</f>
        <v>389.19885170646631</v>
      </c>
      <c r="AG122" s="40">
        <f t="shared" si="46"/>
        <v>5398.82</v>
      </c>
      <c r="AH122" s="43">
        <f t="shared" si="47"/>
        <v>6295.99</v>
      </c>
      <c r="AI122" s="43">
        <f t="shared" si="48"/>
        <v>100735.84</v>
      </c>
      <c r="AJ122" s="43">
        <f t="shared" si="49"/>
        <v>6044150.3999999994</v>
      </c>
      <c r="AK122" s="44">
        <f>VLOOKUP(D122,[1]apoio_Preços_MGS!$A$6:$AN$238,39,FALSE)</f>
        <v>200.00000000000003</v>
      </c>
      <c r="AL122" s="44">
        <f>IF(J122="demais municípios",VLOOKUP(D122,[1]apoio_Preços_MGS!$A$6:$AN$238,39,FALSE),0)</f>
        <v>0</v>
      </c>
      <c r="AM122" s="44">
        <f>TRUNC(ROUND(($I122)/(1-($I122)),5)*VLOOKUP(D122,[1]apoio_Preços_MGS!$A$6:$AN$238,39,FALSE)+VLOOKUP(D122,[1]apoio_Preços_MGS!$A$6:$AN$238,39,FALSE),2)</f>
        <v>210.52</v>
      </c>
      <c r="AN122" s="45">
        <f t="shared" si="32"/>
        <v>3368.32</v>
      </c>
      <c r="AO122" s="44">
        <f>VLOOKUP(D122,[1]apoio_Preços_MGS!$A$6:$AN$238,40,FALSE)</f>
        <v>550.35</v>
      </c>
      <c r="AP122" s="44">
        <f>IF(J122="demais municípios",VLOOKUP(D122,[1]apoio_Preços_MGS!$A$6:$AN$238,40,FALSE),0)</f>
        <v>0</v>
      </c>
      <c r="AQ122" s="44">
        <f>TRUNC(ROUND(($I122)/(1-($I122)),5)*VLOOKUP(D122,[1]apoio_Preços_MGS!$A$6:$AN$238,40,FALSE)+VLOOKUP(D122,[1]apoio_Preços_MGS!$A$6:$AN$238,40,FALSE),2)</f>
        <v>579.30999999999995</v>
      </c>
      <c r="AR122" s="45">
        <f t="shared" si="33"/>
        <v>9268.9599999999991</v>
      </c>
      <c r="AS122" s="45">
        <f t="shared" si="34"/>
        <v>12637.279999999999</v>
      </c>
      <c r="AT122" s="45">
        <f t="shared" si="35"/>
        <v>758236.79999999993</v>
      </c>
      <c r="AU122" s="62"/>
      <c r="AV122" s="46"/>
      <c r="AW122" s="47"/>
      <c r="AX122" s="48"/>
      <c r="AY122" s="49"/>
      <c r="BA122" s="48"/>
    </row>
    <row r="123" spans="1:53" ht="19.5" customHeight="1" x14ac:dyDescent="0.25">
      <c r="A123" s="33" t="str">
        <f t="shared" si="30"/>
        <v>106518400,05</v>
      </c>
      <c r="B123" s="33" t="str">
        <f t="shared" si="31"/>
        <v>3580,05</v>
      </c>
      <c r="C123" s="34" t="str">
        <f>VLOOKUP(D123,[1]apoio_Preços_MGS!$A$6:$B$238,2,FALSE)</f>
        <v>ASSISTENTE OPERACIONAL</v>
      </c>
      <c r="D123" s="35">
        <v>358</v>
      </c>
      <c r="E123" s="33" t="str">
        <f>VLOOKUP(D123,[1]apoio_Preços_MGS!$A$6:$F$238,6,FALSE)</f>
        <v>ASSISTENTE OPERACIONAL - DIARISTA DIURNO</v>
      </c>
      <c r="F123" s="36">
        <f>IFERROR(VLOOKUP(D123,'[1]apoio_cód catmas'!$B$2:$C$863,2,FALSE),0)</f>
        <v>106518</v>
      </c>
      <c r="G123" s="33" t="str">
        <f>IF(H123="N/A",VLOOKUP(F123&amp;40,'[1]apoio_cód catmas'!$A$1:$G$233,4,FALSE),VLOOKUP(F123&amp;H123,'[1]apoio_cód catmas'!$A$1:$G$233,4,FALSE))</f>
        <v>ASSISTENTE OPERACIONAL - 30H, 36H, 40H OU 44H</v>
      </c>
      <c r="H123" s="36">
        <v>40</v>
      </c>
      <c r="I123" s="37">
        <v>0.05</v>
      </c>
      <c r="J123" s="38" t="s">
        <v>47</v>
      </c>
      <c r="K123" s="39">
        <v>12</v>
      </c>
      <c r="L123" s="39">
        <f t="shared" si="42"/>
        <v>720</v>
      </c>
      <c r="M123" s="40">
        <f>VLOOKUP(D123,[1]apoio_Preços_MGS!$A$6:$AN$238,18,FALSE)</f>
        <v>3594.5545791666673</v>
      </c>
      <c r="N123" s="40">
        <f>VLOOKUP(D123,[1]apoio_Preços_MGS!$A$6:$AN$238,19,FALSE)</f>
        <v>0</v>
      </c>
      <c r="O123" s="40">
        <f>VLOOKUP(D123,[1]apoio_Preços_MGS!$A$6:$AN$238,20,FALSE)</f>
        <v>0</v>
      </c>
      <c r="P123" s="40">
        <f>VLOOKUP(D123,[1]apoio_Preços_MGS!$A$6:$AN$238,21,FALSE)</f>
        <v>0</v>
      </c>
      <c r="Q123" s="40">
        <f>VLOOKUP(D123,[1]apoio_Preços_MGS!$A$6:$AN$238,22,FALSE)</f>
        <v>0</v>
      </c>
      <c r="R123" s="40">
        <f>VLOOKUP(D123,[1]apoio_Preços_MGS!$A$6:$AN$238,23,FALSE)</f>
        <v>0</v>
      </c>
      <c r="S123" s="40">
        <f>VLOOKUP(D123,[1]apoio_Preços_MGS!$A$6:$AN$238,24,FALSE)</f>
        <v>0</v>
      </c>
      <c r="T123" s="40">
        <f>VLOOKUP(D123,[1]apoio_Preços_MGS!$A$6:$AN$238,25,FALSE)</f>
        <v>0</v>
      </c>
      <c r="U123" s="40">
        <f t="shared" si="43"/>
        <v>3594.5545791666673</v>
      </c>
      <c r="V123" s="41">
        <f>VLOOKUP(D123,[1]apoio_Preços_MGS!$A$6:$AN$238,27,FALSE)</f>
        <v>0.81799999999999995</v>
      </c>
      <c r="W123" s="40">
        <f t="shared" si="44"/>
        <v>2940.3456457583338</v>
      </c>
      <c r="X123" s="40">
        <f>VLOOKUP(D123,[1]apoio_Preços_MGS!$A$6:$AN$238,29,FALSE)</f>
        <v>0</v>
      </c>
      <c r="Y123" s="40">
        <f>VLOOKUP(D123,[1]apoio_Preços_MGS!$A$6:$AN$238,30,FALSE)</f>
        <v>0</v>
      </c>
      <c r="Z123" s="40">
        <f t="shared" si="45"/>
        <v>0</v>
      </c>
      <c r="AA123" s="40">
        <f>VLOOKUP(D123,[1]apoio_Preços_MGS!$A$6:$AN$238,32,FALSE)</f>
        <v>6.9015447920000002</v>
      </c>
      <c r="AB123" s="40">
        <f>VLOOKUP(D123,[1]apoio_Preços_MGS!$A$6:$AN$238,33,FALSE)</f>
        <v>113.06681818181822</v>
      </c>
      <c r="AC123" s="41">
        <f>VLOOKUP(D123,[1]apoio_Preços_MGS!$A$6:$AN$238,34,FALSE)</f>
        <v>0</v>
      </c>
      <c r="AD123" s="40">
        <f>(U123+W123+Z123+AB123+AA123+VLOOKUP(C123,[1]apoio_Prec_Folha!$A:$S,7,FALSE))*AC123</f>
        <v>0</v>
      </c>
      <c r="AE123" s="42">
        <f>VLOOKUP(D123,[1]apoio_Preços_MGS!$A$6:$AN$238,36,FALSE)</f>
        <v>7.0000000000000007E-2</v>
      </c>
      <c r="AF123" s="40">
        <f>(U123+W123+Z123+AB123+AD123+AA123+VLOOKUP(C123,[1]apoio_Prec_Folha!$A:$S,7,FALSE))*AE123</f>
        <v>504.69039281958402</v>
      </c>
      <c r="AG123" s="40">
        <f t="shared" si="46"/>
        <v>7159.55</v>
      </c>
      <c r="AH123" s="43">
        <f t="shared" si="47"/>
        <v>8349.32</v>
      </c>
      <c r="AI123" s="43">
        <f t="shared" si="48"/>
        <v>100191.84</v>
      </c>
      <c r="AJ123" s="43">
        <f t="shared" si="49"/>
        <v>6011510.3999999994</v>
      </c>
      <c r="AK123" s="44">
        <f>VLOOKUP(D123,[1]apoio_Preços_MGS!$A$6:$AN$238,39,FALSE)</f>
        <v>181.81818181818184</v>
      </c>
      <c r="AL123" s="44">
        <f>IF(J123="demais municípios",VLOOKUP(D123,[1]apoio_Preços_MGS!$A$6:$AN$238,39,FALSE),0)</f>
        <v>0</v>
      </c>
      <c r="AM123" s="44">
        <f>TRUNC(ROUND(($I123)/(1-($I123)),5)*VLOOKUP(D123,[1]apoio_Preços_MGS!$A$6:$AN$238,39,FALSE)+VLOOKUP(D123,[1]apoio_Preços_MGS!$A$6:$AN$238,39,FALSE),2)</f>
        <v>191.38</v>
      </c>
      <c r="AN123" s="45">
        <f t="shared" si="32"/>
        <v>2296.56</v>
      </c>
      <c r="AO123" s="44">
        <f>VLOOKUP(D123,[1]apoio_Preços_MGS!$A$6:$AN$238,40,FALSE)</f>
        <v>554.99</v>
      </c>
      <c r="AP123" s="44">
        <f>IF(J123="demais municípios",VLOOKUP(D123,[1]apoio_Preços_MGS!$A$6:$AN$238,40,FALSE),0)</f>
        <v>0</v>
      </c>
      <c r="AQ123" s="44">
        <f>TRUNC(ROUND(($I123)/(1-($I123)),5)*VLOOKUP(D123,[1]apoio_Preços_MGS!$A$6:$AN$238,40,FALSE)+VLOOKUP(D123,[1]apoio_Preços_MGS!$A$6:$AN$238,40,FALSE),2)</f>
        <v>584.19000000000005</v>
      </c>
      <c r="AR123" s="45">
        <f t="shared" si="33"/>
        <v>7010.2800000000007</v>
      </c>
      <c r="AS123" s="45">
        <f t="shared" si="34"/>
        <v>9306.84</v>
      </c>
      <c r="AT123" s="45">
        <f t="shared" si="35"/>
        <v>558410.4</v>
      </c>
      <c r="AU123" s="62"/>
      <c r="AV123" s="46"/>
      <c r="AW123" s="47"/>
      <c r="AX123" s="48"/>
      <c r="AY123" s="49"/>
      <c r="BA123" s="48"/>
    </row>
    <row r="124" spans="1:53" ht="19.5" customHeight="1" x14ac:dyDescent="0.25">
      <c r="A124" s="33" t="str">
        <f t="shared" si="30"/>
        <v>105600400,02</v>
      </c>
      <c r="B124" s="33" t="str">
        <f t="shared" si="31"/>
        <v>11630,02</v>
      </c>
      <c r="C124" s="34" t="str">
        <f>VLOOKUP(D124,[1]apoio_Preços_MGS!$A$6:$B$238,2,FALSE)</f>
        <v>ASSISTENTE OPERACIONAL II</v>
      </c>
      <c r="D124" s="35">
        <v>1163</v>
      </c>
      <c r="E124" s="33" t="str">
        <f>VLOOKUP(D124,[1]apoio_Preços_MGS!$A$6:$F$238,6,FALSE)</f>
        <v>ASSISTENTE OPERACIONAL II - DIARISTA DIURNO</v>
      </c>
      <c r="F124" s="36">
        <f>IFERROR(VLOOKUP(D124,'[1]apoio_cód catmas'!$B$2:$C$863,2,FALSE),0)</f>
        <v>105600</v>
      </c>
      <c r="G124" s="33" t="str">
        <f>IF(H124="N/A",VLOOKUP(F124&amp;40,'[1]apoio_cód catmas'!$A$1:$G$233,4,FALSE),VLOOKUP(F124&amp;H124,'[1]apoio_cód catmas'!$A$1:$G$233,4,FALSE))</f>
        <v>ASSISTENTE OPERACIONAL NIVEL II - 30H, 36H 40H OU 44H</v>
      </c>
      <c r="H124" s="36">
        <v>40</v>
      </c>
      <c r="I124" s="37">
        <v>0.02</v>
      </c>
      <c r="J124" s="38" t="s">
        <v>46</v>
      </c>
      <c r="K124" s="39">
        <v>12</v>
      </c>
      <c r="L124" s="39">
        <f t="shared" si="42"/>
        <v>720</v>
      </c>
      <c r="M124" s="40">
        <f>VLOOKUP(D124,[1]apoio_Preços_MGS!$A$6:$AN$238,18,FALSE)</f>
        <v>2551.1899999999991</v>
      </c>
      <c r="N124" s="40">
        <f>VLOOKUP(D124,[1]apoio_Preços_MGS!$A$6:$AN$238,19,FALSE)</f>
        <v>0</v>
      </c>
      <c r="O124" s="40">
        <f>VLOOKUP(D124,[1]apoio_Preços_MGS!$A$6:$AN$238,20,FALSE)</f>
        <v>0</v>
      </c>
      <c r="P124" s="40">
        <f>VLOOKUP(D124,[1]apoio_Preços_MGS!$A$6:$AN$238,21,FALSE)</f>
        <v>0</v>
      </c>
      <c r="Q124" s="40">
        <f>VLOOKUP(D124,[1]apoio_Preços_MGS!$A$6:$AN$238,22,FALSE)</f>
        <v>0</v>
      </c>
      <c r="R124" s="40">
        <f>VLOOKUP(D124,[1]apoio_Preços_MGS!$A$6:$AN$238,23,FALSE)</f>
        <v>0</v>
      </c>
      <c r="S124" s="40">
        <f>VLOOKUP(D124,[1]apoio_Preços_MGS!$A$6:$AN$238,24,FALSE)</f>
        <v>0</v>
      </c>
      <c r="T124" s="40">
        <f>VLOOKUP(D124,[1]apoio_Preços_MGS!$A$6:$AN$238,25,FALSE)</f>
        <v>0</v>
      </c>
      <c r="U124" s="40">
        <f t="shared" si="43"/>
        <v>2551.1899999999991</v>
      </c>
      <c r="V124" s="41">
        <v>0.81799999999999995</v>
      </c>
      <c r="W124" s="40">
        <f t="shared" si="44"/>
        <v>2086.873419999999</v>
      </c>
      <c r="X124" s="40">
        <f>VLOOKUP(D124,[1]apoio_Preços_MGS!$A$6:$AN$238,29,FALSE)</f>
        <v>0</v>
      </c>
      <c r="Y124" s="40">
        <f>VLOOKUP(D124,[1]apoio_Preços_MGS!$A$6:$AN$238,30,FALSE)</f>
        <v>0</v>
      </c>
      <c r="Z124" s="40">
        <f t="shared" si="45"/>
        <v>0</v>
      </c>
      <c r="AA124" s="40">
        <f>VLOOKUP(D124,[1]apoio_Preços_MGS!$A$6:$AN$238,32,FALSE)</f>
        <v>4.8982847999999981</v>
      </c>
      <c r="AB124" s="40">
        <f>VLOOKUP(D124,[1]apoio_Preços_MGS!$A$6:$AN$238,33,FALSE)</f>
        <v>185.5367950693373</v>
      </c>
      <c r="AC124" s="41">
        <f>VLOOKUP(D124,[1]apoio_Preços_MGS!$A$6:$AN$238,34,FALSE)</f>
        <v>0</v>
      </c>
      <c r="AD124" s="40">
        <f>(U124+W124+Z124+AB124+AA124+VLOOKUP(C124,[1]apoio_Prec_Folha!$A:$S,7,FALSE))*AC124</f>
        <v>0</v>
      </c>
      <c r="AE124" s="42">
        <f>VLOOKUP(D124,[1]apoio_Preços_MGS!$A$6:$AN$238,36,FALSE)</f>
        <v>7.0000000000000007E-2</v>
      </c>
      <c r="AF124" s="40">
        <f>(U124+W124+Z124+AB124+AD124+AA124+VLOOKUP(C124,[1]apoio_Prec_Folha!$A:$S,7,FALSE))*AE124</f>
        <v>376.60549499085357</v>
      </c>
      <c r="AG124" s="40">
        <f t="shared" si="46"/>
        <v>5205.1000000000004</v>
      </c>
      <c r="AH124" s="43">
        <f t="shared" si="47"/>
        <v>5864.89</v>
      </c>
      <c r="AI124" s="43">
        <f t="shared" si="48"/>
        <v>70378.680000000008</v>
      </c>
      <c r="AJ124" s="43">
        <f t="shared" si="49"/>
        <v>4222720.8</v>
      </c>
      <c r="AK124" s="44">
        <f>VLOOKUP(D124,[1]apoio_Preços_MGS!$A$6:$AN$238,39,FALSE)</f>
        <v>181.81818181818184</v>
      </c>
      <c r="AL124" s="44">
        <f>IF(J124="demais municípios",VLOOKUP(D124,[1]apoio_Preços_MGS!$A$6:$AN$238,39,FALSE),0)</f>
        <v>181.81818181818184</v>
      </c>
      <c r="AM124" s="44">
        <v>0</v>
      </c>
      <c r="AN124" s="45">
        <f t="shared" ref="AN124:AN127" si="56">AK124*K124</f>
        <v>2181.818181818182</v>
      </c>
      <c r="AO124" s="44">
        <f>VLOOKUP(D124,[1]apoio_Preços_MGS!$A$6:$AN$238,40,FALSE)</f>
        <v>551.58000000000004</v>
      </c>
      <c r="AP124" s="44">
        <f>IF(J124="demais municípios",VLOOKUP(D124,[1]apoio_Preços_MGS!$A$6:$AN$238,40,FALSE),0)</f>
        <v>551.58000000000004</v>
      </c>
      <c r="AQ124" s="44">
        <v>0</v>
      </c>
      <c r="AR124" s="45">
        <f t="shared" ref="AR124:AR127" si="57">AO124*K124</f>
        <v>6618.9600000000009</v>
      </c>
      <c r="AS124" s="45">
        <f t="shared" si="34"/>
        <v>8800.7781818181829</v>
      </c>
      <c r="AT124" s="45">
        <f t="shared" si="35"/>
        <v>528046.69090909092</v>
      </c>
      <c r="AU124" s="62"/>
      <c r="AV124" s="46"/>
      <c r="AW124" s="47"/>
      <c r="AX124" s="48"/>
      <c r="AY124" s="49"/>
      <c r="BA124" s="48"/>
    </row>
    <row r="125" spans="1:53" ht="19.5" customHeight="1" x14ac:dyDescent="0.25">
      <c r="A125" s="33" t="str">
        <f t="shared" si="30"/>
        <v>105600400,03</v>
      </c>
      <c r="B125" s="33" t="str">
        <f t="shared" si="31"/>
        <v>11630,03</v>
      </c>
      <c r="C125" s="34" t="str">
        <f>VLOOKUP(D125,[1]apoio_Preços_MGS!$A$6:$B$238,2,FALSE)</f>
        <v>ASSISTENTE OPERACIONAL II</v>
      </c>
      <c r="D125" s="35">
        <v>1163</v>
      </c>
      <c r="E125" s="33" t="str">
        <f>VLOOKUP(D125,[1]apoio_Preços_MGS!$A$6:$F$238,6,FALSE)</f>
        <v>ASSISTENTE OPERACIONAL II - DIARISTA DIURNO</v>
      </c>
      <c r="F125" s="36">
        <f>IFERROR(VLOOKUP(D125,'[1]apoio_cód catmas'!$B$2:$C$863,2,FALSE),0)</f>
        <v>105600</v>
      </c>
      <c r="G125" s="33" t="str">
        <f>IF(H125="N/A",VLOOKUP(F125&amp;40,'[1]apoio_cód catmas'!$A$1:$G$233,4,FALSE),VLOOKUP(F125&amp;H125,'[1]apoio_cód catmas'!$A$1:$G$233,4,FALSE))</f>
        <v>ASSISTENTE OPERACIONAL NIVEL II - 30H, 36H 40H OU 44H</v>
      </c>
      <c r="H125" s="36">
        <v>40</v>
      </c>
      <c r="I125" s="37">
        <v>0.03</v>
      </c>
      <c r="J125" s="38" t="s">
        <v>46</v>
      </c>
      <c r="K125" s="39">
        <v>30</v>
      </c>
      <c r="L125" s="39">
        <f t="shared" si="42"/>
        <v>1800</v>
      </c>
      <c r="M125" s="40">
        <f>VLOOKUP(D125,[1]apoio_Preços_MGS!$A$6:$AN$238,18,FALSE)</f>
        <v>2551.1899999999991</v>
      </c>
      <c r="N125" s="40">
        <f>VLOOKUP(D125,[1]apoio_Preços_MGS!$A$6:$AN$238,19,FALSE)</f>
        <v>0</v>
      </c>
      <c r="O125" s="40">
        <f>VLOOKUP(D125,[1]apoio_Preços_MGS!$A$6:$AN$238,20,FALSE)</f>
        <v>0</v>
      </c>
      <c r="P125" s="40">
        <f>VLOOKUP(D125,[1]apoio_Preços_MGS!$A$6:$AN$238,21,FALSE)</f>
        <v>0</v>
      </c>
      <c r="Q125" s="40">
        <f>VLOOKUP(D125,[1]apoio_Preços_MGS!$A$6:$AN$238,22,FALSE)</f>
        <v>0</v>
      </c>
      <c r="R125" s="40">
        <f>VLOOKUP(D125,[1]apoio_Preços_MGS!$A$6:$AN$238,23,FALSE)</f>
        <v>0</v>
      </c>
      <c r="S125" s="40">
        <f>VLOOKUP(D125,[1]apoio_Preços_MGS!$A$6:$AN$238,24,FALSE)</f>
        <v>0</v>
      </c>
      <c r="T125" s="40">
        <f>VLOOKUP(D125,[1]apoio_Preços_MGS!$A$6:$AN$238,25,FALSE)</f>
        <v>0</v>
      </c>
      <c r="U125" s="40">
        <f t="shared" si="43"/>
        <v>2551.1899999999991</v>
      </c>
      <c r="V125" s="41">
        <v>0.81799999999999995</v>
      </c>
      <c r="W125" s="40">
        <f t="shared" si="44"/>
        <v>2086.873419999999</v>
      </c>
      <c r="X125" s="40">
        <f>VLOOKUP(D125,[1]apoio_Preços_MGS!$A$6:$AN$238,29,FALSE)</f>
        <v>0</v>
      </c>
      <c r="Y125" s="40">
        <f>VLOOKUP(D125,[1]apoio_Preços_MGS!$A$6:$AN$238,30,FALSE)</f>
        <v>0</v>
      </c>
      <c r="Z125" s="40">
        <f t="shared" si="45"/>
        <v>0</v>
      </c>
      <c r="AA125" s="40">
        <f>VLOOKUP(D125,[1]apoio_Preços_MGS!$A$6:$AN$238,32,FALSE)</f>
        <v>4.8982847999999981</v>
      </c>
      <c r="AB125" s="40">
        <f>VLOOKUP(D125,[1]apoio_Preços_MGS!$A$6:$AN$238,33,FALSE)</f>
        <v>185.5367950693373</v>
      </c>
      <c r="AC125" s="41">
        <f>VLOOKUP(D125,[1]apoio_Preços_MGS!$A$6:$AN$238,34,FALSE)</f>
        <v>0</v>
      </c>
      <c r="AD125" s="40">
        <f>(U125+W125+Z125+AB125+AA125+VLOOKUP(C125,[1]apoio_Prec_Folha!$A:$S,7,FALSE))*AC125</f>
        <v>0</v>
      </c>
      <c r="AE125" s="42">
        <f>VLOOKUP(D125,[1]apoio_Preços_MGS!$A$6:$AN$238,36,FALSE)</f>
        <v>7.0000000000000007E-2</v>
      </c>
      <c r="AF125" s="40">
        <f>(U125+W125+Z125+AB125+AD125+AA125+VLOOKUP(C125,[1]apoio_Prec_Folha!$A:$S,7,FALSE))*AE125</f>
        <v>376.60549499085357</v>
      </c>
      <c r="AG125" s="40">
        <f t="shared" si="46"/>
        <v>5205.1000000000004</v>
      </c>
      <c r="AH125" s="43">
        <f t="shared" si="47"/>
        <v>5931.73</v>
      </c>
      <c r="AI125" s="43">
        <f t="shared" si="48"/>
        <v>177951.9</v>
      </c>
      <c r="AJ125" s="43">
        <f t="shared" si="49"/>
        <v>10677114</v>
      </c>
      <c r="AK125" s="44">
        <f>VLOOKUP(D125,[1]apoio_Preços_MGS!$A$6:$AN$238,39,FALSE)</f>
        <v>181.81818181818184</v>
      </c>
      <c r="AL125" s="44">
        <f>IF(J125="demais municípios",VLOOKUP(D125,[1]apoio_Preços_MGS!$A$6:$AN$238,39,FALSE),0)</f>
        <v>181.81818181818184</v>
      </c>
      <c r="AM125" s="44">
        <v>0</v>
      </c>
      <c r="AN125" s="45">
        <f t="shared" si="56"/>
        <v>5454.545454545455</v>
      </c>
      <c r="AO125" s="44">
        <f>VLOOKUP(D125,[1]apoio_Preços_MGS!$A$6:$AN$238,40,FALSE)</f>
        <v>551.58000000000004</v>
      </c>
      <c r="AP125" s="44">
        <f>IF(J125="demais municípios",VLOOKUP(D125,[1]apoio_Preços_MGS!$A$6:$AN$238,40,FALSE),0)</f>
        <v>551.58000000000004</v>
      </c>
      <c r="AQ125" s="44">
        <v>0</v>
      </c>
      <c r="AR125" s="45">
        <f t="shared" si="57"/>
        <v>16547.400000000001</v>
      </c>
      <c r="AS125" s="45">
        <f t="shared" si="34"/>
        <v>22001.945454545457</v>
      </c>
      <c r="AT125" s="45">
        <f t="shared" si="35"/>
        <v>1320116.7272727275</v>
      </c>
      <c r="AU125" s="62"/>
      <c r="AV125" s="46"/>
      <c r="AW125" s="47"/>
      <c r="AX125" s="48"/>
      <c r="AY125" s="49"/>
      <c r="BA125" s="48"/>
    </row>
    <row r="126" spans="1:53" ht="19.5" customHeight="1" x14ac:dyDescent="0.25">
      <c r="A126" s="33" t="str">
        <f t="shared" si="30"/>
        <v>105600400,04</v>
      </c>
      <c r="B126" s="33" t="str">
        <f t="shared" si="31"/>
        <v>11630,04</v>
      </c>
      <c r="C126" s="34" t="str">
        <f>VLOOKUP(D126,[1]apoio_Preços_MGS!$A$6:$B$238,2,FALSE)</f>
        <v>ASSISTENTE OPERACIONAL II</v>
      </c>
      <c r="D126" s="35">
        <v>1163</v>
      </c>
      <c r="E126" s="33" t="str">
        <f>VLOOKUP(D126,[1]apoio_Preços_MGS!$A$6:$F$238,6,FALSE)</f>
        <v>ASSISTENTE OPERACIONAL II - DIARISTA DIURNO</v>
      </c>
      <c r="F126" s="36">
        <f>IFERROR(VLOOKUP(D126,'[1]apoio_cód catmas'!$B$2:$C$863,2,FALSE),0)</f>
        <v>105600</v>
      </c>
      <c r="G126" s="33" t="str">
        <f>IF(H126="N/A",VLOOKUP(F126&amp;40,'[1]apoio_cód catmas'!$A$1:$G$233,4,FALSE),VLOOKUP(F126&amp;H126,'[1]apoio_cód catmas'!$A$1:$G$233,4,FALSE))</f>
        <v>ASSISTENTE OPERACIONAL NIVEL II - 30H, 36H 40H OU 44H</v>
      </c>
      <c r="H126" s="36">
        <v>40</v>
      </c>
      <c r="I126" s="37">
        <v>0.04</v>
      </c>
      <c r="J126" s="38" t="s">
        <v>46</v>
      </c>
      <c r="K126" s="39">
        <v>6</v>
      </c>
      <c r="L126" s="39">
        <f t="shared" si="42"/>
        <v>360</v>
      </c>
      <c r="M126" s="40">
        <f>VLOOKUP(D126,[1]apoio_Preços_MGS!$A$6:$AN$238,18,FALSE)</f>
        <v>2551.1899999999991</v>
      </c>
      <c r="N126" s="40">
        <f>VLOOKUP(D126,[1]apoio_Preços_MGS!$A$6:$AN$238,19,FALSE)</f>
        <v>0</v>
      </c>
      <c r="O126" s="40">
        <f>VLOOKUP(D126,[1]apoio_Preços_MGS!$A$6:$AN$238,20,FALSE)</f>
        <v>0</v>
      </c>
      <c r="P126" s="40">
        <f>VLOOKUP(D126,[1]apoio_Preços_MGS!$A$6:$AN$238,21,FALSE)</f>
        <v>0</v>
      </c>
      <c r="Q126" s="40">
        <f>VLOOKUP(D126,[1]apoio_Preços_MGS!$A$6:$AN$238,22,FALSE)</f>
        <v>0</v>
      </c>
      <c r="R126" s="40">
        <f>VLOOKUP(D126,[1]apoio_Preços_MGS!$A$6:$AN$238,23,FALSE)</f>
        <v>0</v>
      </c>
      <c r="S126" s="40">
        <f>VLOOKUP(D126,[1]apoio_Preços_MGS!$A$6:$AN$238,24,FALSE)</f>
        <v>0</v>
      </c>
      <c r="T126" s="40">
        <f>VLOOKUP(D126,[1]apoio_Preços_MGS!$A$6:$AN$238,25,FALSE)</f>
        <v>0</v>
      </c>
      <c r="U126" s="40">
        <f t="shared" si="43"/>
        <v>2551.1899999999991</v>
      </c>
      <c r="V126" s="41">
        <v>0.81799999999999995</v>
      </c>
      <c r="W126" s="40">
        <f t="shared" si="44"/>
        <v>2086.873419999999</v>
      </c>
      <c r="X126" s="40">
        <f>VLOOKUP(D126,[1]apoio_Preços_MGS!$A$6:$AN$238,29,FALSE)</f>
        <v>0</v>
      </c>
      <c r="Y126" s="40">
        <f>VLOOKUP(D126,[1]apoio_Preços_MGS!$A$6:$AN$238,30,FALSE)</f>
        <v>0</v>
      </c>
      <c r="Z126" s="40">
        <f t="shared" si="45"/>
        <v>0</v>
      </c>
      <c r="AA126" s="40">
        <f>VLOOKUP(D126,[1]apoio_Preços_MGS!$A$6:$AN$238,32,FALSE)</f>
        <v>4.8982847999999981</v>
      </c>
      <c r="AB126" s="40">
        <f>VLOOKUP(D126,[1]apoio_Preços_MGS!$A$6:$AN$238,33,FALSE)</f>
        <v>185.5367950693373</v>
      </c>
      <c r="AC126" s="41">
        <f>VLOOKUP(D126,[1]apoio_Preços_MGS!$A$6:$AN$238,34,FALSE)</f>
        <v>0</v>
      </c>
      <c r="AD126" s="40">
        <f>(U126+W126+Z126+AB126+AA126+VLOOKUP(C126,[1]apoio_Prec_Folha!$A:$S,7,FALSE))*AC126</f>
        <v>0</v>
      </c>
      <c r="AE126" s="42">
        <f>VLOOKUP(D126,[1]apoio_Preços_MGS!$A$6:$AN$238,36,FALSE)</f>
        <v>7.0000000000000007E-2</v>
      </c>
      <c r="AF126" s="40">
        <f>(U126+W126+Z126+AB126+AD126+AA126+VLOOKUP(C126,[1]apoio_Prec_Folha!$A:$S,7,FALSE))*AE126</f>
        <v>376.60549499085357</v>
      </c>
      <c r="AG126" s="40">
        <f t="shared" si="46"/>
        <v>5205.1000000000004</v>
      </c>
      <c r="AH126" s="43">
        <f t="shared" si="47"/>
        <v>6000.12</v>
      </c>
      <c r="AI126" s="43">
        <f t="shared" si="48"/>
        <v>36000.720000000001</v>
      </c>
      <c r="AJ126" s="43">
        <f t="shared" si="49"/>
        <v>2160043.2000000002</v>
      </c>
      <c r="AK126" s="44">
        <f>VLOOKUP(D126,[1]apoio_Preços_MGS!$A$6:$AN$238,39,FALSE)</f>
        <v>181.81818181818184</v>
      </c>
      <c r="AL126" s="44">
        <f>IF(J126="demais municípios",VLOOKUP(D126,[1]apoio_Preços_MGS!$A$6:$AN$238,39,FALSE),0)</f>
        <v>181.81818181818184</v>
      </c>
      <c r="AM126" s="44">
        <v>0</v>
      </c>
      <c r="AN126" s="45">
        <f t="shared" si="56"/>
        <v>1090.909090909091</v>
      </c>
      <c r="AO126" s="44">
        <f>VLOOKUP(D126,[1]apoio_Preços_MGS!$A$6:$AN$238,40,FALSE)</f>
        <v>551.58000000000004</v>
      </c>
      <c r="AP126" s="44">
        <f>IF(J126="demais municípios",VLOOKUP(D126,[1]apoio_Preços_MGS!$A$6:$AN$238,40,FALSE),0)</f>
        <v>551.58000000000004</v>
      </c>
      <c r="AQ126" s="44">
        <v>0</v>
      </c>
      <c r="AR126" s="45">
        <f t="shared" si="57"/>
        <v>3309.4800000000005</v>
      </c>
      <c r="AS126" s="45">
        <f t="shared" si="34"/>
        <v>4400.3890909090915</v>
      </c>
      <c r="AT126" s="45">
        <f t="shared" si="35"/>
        <v>264023.34545454546</v>
      </c>
      <c r="AU126" s="62"/>
      <c r="AV126" s="46"/>
      <c r="AW126" s="47"/>
      <c r="AX126" s="48"/>
      <c r="AY126" s="49"/>
      <c r="BA126" s="48"/>
    </row>
    <row r="127" spans="1:53" ht="19.5" customHeight="1" x14ac:dyDescent="0.25">
      <c r="A127" s="33" t="str">
        <f t="shared" si="30"/>
        <v>105600400,05</v>
      </c>
      <c r="B127" s="33" t="str">
        <f t="shared" si="31"/>
        <v>11630,05</v>
      </c>
      <c r="C127" s="34" t="str">
        <f>VLOOKUP(D127,[1]apoio_Preços_MGS!$A$6:$B$238,2,FALSE)</f>
        <v>ASSISTENTE OPERACIONAL II</v>
      </c>
      <c r="D127" s="35">
        <v>1163</v>
      </c>
      <c r="E127" s="33" t="str">
        <f>VLOOKUP(D127,[1]apoio_Preços_MGS!$A$6:$F$238,6,FALSE)</f>
        <v>ASSISTENTE OPERACIONAL II - DIARISTA DIURNO</v>
      </c>
      <c r="F127" s="36">
        <f>IFERROR(VLOOKUP(D127,'[1]apoio_cód catmas'!$B$2:$C$863,2,FALSE),0)</f>
        <v>105600</v>
      </c>
      <c r="G127" s="33" t="str">
        <f>IF(H127="N/A",VLOOKUP(F127&amp;40,'[1]apoio_cód catmas'!$A$1:$G$233,4,FALSE),VLOOKUP(F127&amp;H127,'[1]apoio_cód catmas'!$A$1:$G$233,4,FALSE))</f>
        <v>ASSISTENTE OPERACIONAL NIVEL II - 30H, 36H 40H OU 44H</v>
      </c>
      <c r="H127" s="36">
        <v>40</v>
      </c>
      <c r="I127" s="37">
        <v>0.05</v>
      </c>
      <c r="J127" s="38" t="s">
        <v>46</v>
      </c>
      <c r="K127" s="39">
        <f>306-K128</f>
        <v>2</v>
      </c>
      <c r="L127" s="39">
        <f t="shared" si="42"/>
        <v>120</v>
      </c>
      <c r="M127" s="40">
        <f>VLOOKUP(D127,[1]apoio_Preços_MGS!$A$6:$AN$238,18,FALSE)</f>
        <v>2551.1899999999991</v>
      </c>
      <c r="N127" s="40">
        <f>VLOOKUP(D127,[1]apoio_Preços_MGS!$A$6:$AN$238,19,FALSE)</f>
        <v>0</v>
      </c>
      <c r="O127" s="40">
        <f>VLOOKUP(D127,[1]apoio_Preços_MGS!$A$6:$AN$238,20,FALSE)</f>
        <v>0</v>
      </c>
      <c r="P127" s="40">
        <f>VLOOKUP(D127,[1]apoio_Preços_MGS!$A$6:$AN$238,21,FALSE)</f>
        <v>0</v>
      </c>
      <c r="Q127" s="40">
        <f>VLOOKUP(D127,[1]apoio_Preços_MGS!$A$6:$AN$238,22,FALSE)</f>
        <v>0</v>
      </c>
      <c r="R127" s="40">
        <f>VLOOKUP(D127,[1]apoio_Preços_MGS!$A$6:$AN$238,23,FALSE)</f>
        <v>0</v>
      </c>
      <c r="S127" s="40">
        <f>VLOOKUP(D127,[1]apoio_Preços_MGS!$A$6:$AN$238,24,FALSE)</f>
        <v>0</v>
      </c>
      <c r="T127" s="40">
        <f>VLOOKUP(D127,[1]apoio_Preços_MGS!$A$6:$AN$238,25,FALSE)</f>
        <v>0</v>
      </c>
      <c r="U127" s="40">
        <f t="shared" si="43"/>
        <v>2551.1899999999991</v>
      </c>
      <c r="V127" s="41">
        <v>0.81799999999999995</v>
      </c>
      <c r="W127" s="40">
        <f t="shared" si="44"/>
        <v>2086.873419999999</v>
      </c>
      <c r="X127" s="40">
        <f>VLOOKUP(D127,[1]apoio_Preços_MGS!$A$6:$AN$238,29,FALSE)</f>
        <v>0</v>
      </c>
      <c r="Y127" s="40">
        <f>VLOOKUP(D127,[1]apoio_Preços_MGS!$A$6:$AN$238,30,FALSE)</f>
        <v>0</v>
      </c>
      <c r="Z127" s="40">
        <f t="shared" si="45"/>
        <v>0</v>
      </c>
      <c r="AA127" s="40">
        <f>VLOOKUP(D127,[1]apoio_Preços_MGS!$A$6:$AN$238,32,FALSE)</f>
        <v>4.8982847999999981</v>
      </c>
      <c r="AB127" s="40">
        <f>VLOOKUP(D127,[1]apoio_Preços_MGS!$A$6:$AN$238,33,FALSE)</f>
        <v>185.5367950693373</v>
      </c>
      <c r="AC127" s="41">
        <f>VLOOKUP(D127,[1]apoio_Preços_MGS!$A$6:$AN$238,34,FALSE)</f>
        <v>0</v>
      </c>
      <c r="AD127" s="40">
        <f>(U127+W127+Z127+AB127+AA127+VLOOKUP(C127,[1]apoio_Prec_Folha!$A:$S,7,FALSE))*AC127</f>
        <v>0</v>
      </c>
      <c r="AE127" s="42">
        <f>VLOOKUP(D127,[1]apoio_Preços_MGS!$A$6:$AN$238,36,FALSE)</f>
        <v>7.0000000000000007E-2</v>
      </c>
      <c r="AF127" s="40">
        <f>(U127+W127+Z127+AB127+AD127+AA127+VLOOKUP(C127,[1]apoio_Prec_Folha!$A:$S,7,FALSE))*AE127</f>
        <v>376.60549499085357</v>
      </c>
      <c r="AG127" s="40">
        <f t="shared" si="46"/>
        <v>5205.1000000000004</v>
      </c>
      <c r="AH127" s="43">
        <f t="shared" si="47"/>
        <v>6070.08</v>
      </c>
      <c r="AI127" s="43">
        <f t="shared" si="48"/>
        <v>12140.16</v>
      </c>
      <c r="AJ127" s="43">
        <f t="shared" si="49"/>
        <v>728409.59999999998</v>
      </c>
      <c r="AK127" s="44">
        <f>VLOOKUP(D127,[1]apoio_Preços_MGS!$A$6:$AN$238,39,FALSE)</f>
        <v>181.81818181818184</v>
      </c>
      <c r="AL127" s="44">
        <f>IF(J127="demais municípios",VLOOKUP(D127,[1]apoio_Preços_MGS!$A$6:$AN$238,39,FALSE),0)</f>
        <v>181.81818181818184</v>
      </c>
      <c r="AM127" s="44">
        <v>0</v>
      </c>
      <c r="AN127" s="45">
        <f t="shared" si="56"/>
        <v>363.63636363636368</v>
      </c>
      <c r="AO127" s="44">
        <f>VLOOKUP(D127,[1]apoio_Preços_MGS!$A$6:$AN$238,40,FALSE)</f>
        <v>551.58000000000004</v>
      </c>
      <c r="AP127" s="44">
        <f>IF(J127="demais municípios",VLOOKUP(D127,[1]apoio_Preços_MGS!$A$6:$AN$238,40,FALSE),0)</f>
        <v>551.58000000000004</v>
      </c>
      <c r="AQ127" s="44">
        <v>0</v>
      </c>
      <c r="AR127" s="45">
        <f t="shared" si="57"/>
        <v>1103.1600000000001</v>
      </c>
      <c r="AS127" s="45">
        <f t="shared" si="34"/>
        <v>1466.7963636363638</v>
      </c>
      <c r="AT127" s="45">
        <f t="shared" si="35"/>
        <v>88007.781818181829</v>
      </c>
      <c r="AU127" s="62"/>
      <c r="AV127" s="46"/>
      <c r="AW127" s="47"/>
      <c r="AX127" s="48"/>
      <c r="AY127" s="49"/>
      <c r="BA127" s="48"/>
    </row>
    <row r="128" spans="1:53" ht="19.5" customHeight="1" x14ac:dyDescent="0.25">
      <c r="A128" s="33" t="str">
        <f t="shared" si="30"/>
        <v>105600400,05</v>
      </c>
      <c r="B128" s="33" t="str">
        <f t="shared" si="31"/>
        <v>11630,05</v>
      </c>
      <c r="C128" s="34" t="str">
        <f>VLOOKUP(D128,[1]apoio_Preços_MGS!$A$6:$B$238,2,FALSE)</f>
        <v>ASSISTENTE OPERACIONAL II</v>
      </c>
      <c r="D128" s="35">
        <v>1163</v>
      </c>
      <c r="E128" s="33" t="str">
        <f>VLOOKUP(D128,[1]apoio_Preços_MGS!$A$6:$F$238,6,FALSE)</f>
        <v>ASSISTENTE OPERACIONAL II - DIARISTA DIURNO</v>
      </c>
      <c r="F128" s="36">
        <f>IFERROR(VLOOKUP(D128,'[1]apoio_cód catmas'!$B$2:$C$863,2,FALSE),0)</f>
        <v>105600</v>
      </c>
      <c r="G128" s="33" t="str">
        <f>IF(H128="N/A",VLOOKUP(F128&amp;40,'[1]apoio_cód catmas'!$A$1:$G$233,4,FALSE),VLOOKUP(F128&amp;H128,'[1]apoio_cód catmas'!$A$1:$G$233,4,FALSE))</f>
        <v>ASSISTENTE OPERACIONAL NIVEL II - 30H, 36H 40H OU 44H</v>
      </c>
      <c r="H128" s="36">
        <v>40</v>
      </c>
      <c r="I128" s="37">
        <v>0.05</v>
      </c>
      <c r="J128" s="38" t="s">
        <v>47</v>
      </c>
      <c r="K128" s="39">
        <v>304</v>
      </c>
      <c r="L128" s="39">
        <f t="shared" si="42"/>
        <v>18240</v>
      </c>
      <c r="M128" s="40">
        <f>VLOOKUP(D128,[1]apoio_Preços_MGS!$A$6:$AN$238,18,FALSE)</f>
        <v>2551.1899999999991</v>
      </c>
      <c r="N128" s="40">
        <f>VLOOKUP(D128,[1]apoio_Preços_MGS!$A$6:$AN$238,19,FALSE)</f>
        <v>0</v>
      </c>
      <c r="O128" s="40">
        <f>VLOOKUP(D128,[1]apoio_Preços_MGS!$A$6:$AN$238,20,FALSE)</f>
        <v>0</v>
      </c>
      <c r="P128" s="40">
        <f>VLOOKUP(D128,[1]apoio_Preços_MGS!$A$6:$AN$238,21,FALSE)</f>
        <v>0</v>
      </c>
      <c r="Q128" s="40">
        <f>VLOOKUP(D128,[1]apoio_Preços_MGS!$A$6:$AN$238,22,FALSE)</f>
        <v>0</v>
      </c>
      <c r="R128" s="40">
        <f>VLOOKUP(D128,[1]apoio_Preços_MGS!$A$6:$AN$238,23,FALSE)</f>
        <v>0</v>
      </c>
      <c r="S128" s="40">
        <f>VLOOKUP(D128,[1]apoio_Preços_MGS!$A$6:$AN$238,24,FALSE)</f>
        <v>0</v>
      </c>
      <c r="T128" s="40">
        <f>VLOOKUP(D128,[1]apoio_Preços_MGS!$A$6:$AN$238,25,FALSE)</f>
        <v>0</v>
      </c>
      <c r="U128" s="40">
        <f t="shared" si="43"/>
        <v>2551.1899999999991</v>
      </c>
      <c r="V128" s="41">
        <v>0.81799999999999995</v>
      </c>
      <c r="W128" s="40">
        <f t="shared" si="44"/>
        <v>2086.873419999999</v>
      </c>
      <c r="X128" s="40">
        <f>VLOOKUP(D128,[1]apoio_Preços_MGS!$A$6:$AN$238,29,FALSE)</f>
        <v>0</v>
      </c>
      <c r="Y128" s="40">
        <f>VLOOKUP(D128,[1]apoio_Preços_MGS!$A$6:$AN$238,30,FALSE)</f>
        <v>0</v>
      </c>
      <c r="Z128" s="40">
        <f t="shared" si="45"/>
        <v>0</v>
      </c>
      <c r="AA128" s="40">
        <f>VLOOKUP(D128,[1]apoio_Preços_MGS!$A$6:$AN$238,32,FALSE)</f>
        <v>4.8982847999999981</v>
      </c>
      <c r="AB128" s="40">
        <f>VLOOKUP(D128,[1]apoio_Preços_MGS!$A$6:$AN$238,33,FALSE)</f>
        <v>185.5367950693373</v>
      </c>
      <c r="AC128" s="41">
        <f>VLOOKUP(D128,[1]apoio_Preços_MGS!$A$6:$AN$238,34,FALSE)</f>
        <v>0</v>
      </c>
      <c r="AD128" s="40">
        <f>(U128+W128+Z128+AB128+AA128+VLOOKUP(C128,[1]apoio_Prec_Folha!$A:$S,7,FALSE))*AC128</f>
        <v>0</v>
      </c>
      <c r="AE128" s="42">
        <f>VLOOKUP(D128,[1]apoio_Preços_MGS!$A$6:$AN$238,36,FALSE)</f>
        <v>7.0000000000000007E-2</v>
      </c>
      <c r="AF128" s="40">
        <f>(U128+W128+Z128+AB128+AD128+AA128+VLOOKUP(C128,[1]apoio_Prec_Folha!$A:$S,7,FALSE))*AE128</f>
        <v>376.60549499085357</v>
      </c>
      <c r="AG128" s="40">
        <f t="shared" si="46"/>
        <v>5205.1000000000004</v>
      </c>
      <c r="AH128" s="43">
        <f t="shared" si="47"/>
        <v>6070.08</v>
      </c>
      <c r="AI128" s="43">
        <f t="shared" si="48"/>
        <v>1845304.3200000001</v>
      </c>
      <c r="AJ128" s="43">
        <f t="shared" si="49"/>
        <v>110718259.2</v>
      </c>
      <c r="AK128" s="44">
        <f>VLOOKUP(D128,[1]apoio_Preços_MGS!$A$6:$AN$238,39,FALSE)</f>
        <v>181.81818181818184</v>
      </c>
      <c r="AL128" s="44">
        <f>IF(J128="demais municípios",VLOOKUP(D128,[1]apoio_Preços_MGS!$A$6:$AN$238,39,FALSE),0)</f>
        <v>0</v>
      </c>
      <c r="AM128" s="44">
        <f>TRUNC(ROUND(($I128)/(1-($I128)),5)*VLOOKUP(D128,[1]apoio_Preços_MGS!$A$6:$AN$238,39,FALSE)+VLOOKUP(D128,[1]apoio_Preços_MGS!$A$6:$AN$238,39,FALSE),2)</f>
        <v>191.38</v>
      </c>
      <c r="AN128" s="45">
        <f t="shared" si="32"/>
        <v>58179.519999999997</v>
      </c>
      <c r="AO128" s="44">
        <f>VLOOKUP(D128,[1]apoio_Preços_MGS!$A$6:$AN$238,40,FALSE)</f>
        <v>551.58000000000004</v>
      </c>
      <c r="AP128" s="44">
        <f>IF(J128="demais municípios",VLOOKUP(D128,[1]apoio_Preços_MGS!$A$6:$AN$238,40,FALSE),0)</f>
        <v>0</v>
      </c>
      <c r="AQ128" s="44">
        <f>TRUNC(ROUND(($I128)/(1-($I128)),5)*VLOOKUP(D128,[1]apoio_Preços_MGS!$A$6:$AN$238,40,FALSE)+VLOOKUP(D128,[1]apoio_Preços_MGS!$A$6:$AN$238,40,FALSE),2)</f>
        <v>580.6</v>
      </c>
      <c r="AR128" s="45">
        <f t="shared" si="33"/>
        <v>176502.39999999999</v>
      </c>
      <c r="AS128" s="45">
        <f t="shared" si="34"/>
        <v>234681.91999999998</v>
      </c>
      <c r="AT128" s="45">
        <f t="shared" si="35"/>
        <v>14080915.199999999</v>
      </c>
      <c r="AU128" s="62"/>
      <c r="AV128" s="46"/>
      <c r="AW128" s="47"/>
      <c r="AX128" s="48"/>
      <c r="AY128" s="49"/>
      <c r="BA128" s="48"/>
    </row>
    <row r="129" spans="1:53" ht="19.5" customHeight="1" x14ac:dyDescent="0.25">
      <c r="A129" s="33" t="str">
        <f t="shared" si="30"/>
        <v>158488400,05</v>
      </c>
      <c r="B129" s="33" t="str">
        <f t="shared" si="31"/>
        <v>A0,05</v>
      </c>
      <c r="C129" s="34" t="str">
        <f>VLOOKUP(D129,[1]apoio_Preços_MGS!$A$6:$B$238,2,FALSE)</f>
        <v>ASSESSOR ESPECIALIZADO</v>
      </c>
      <c r="D129" s="35" t="s">
        <v>48</v>
      </c>
      <c r="E129" s="33" t="str">
        <f>VLOOKUP(D129,[1]apoio_Preços_MGS!$A$6:$F$238,6,FALSE)</f>
        <v>ASSESSOR ESPECIALIZADO - DIARISTA DIURNO</v>
      </c>
      <c r="F129" s="36">
        <f>IFERROR(VLOOKUP(D129,'[1]apoio_cód catmas'!$B$2:$C$863,2,FALSE),0)</f>
        <v>158488</v>
      </c>
      <c r="G129" s="33" t="str">
        <f>IF(H129="N/A",VLOOKUP(F129&amp;40,'[1]apoio_cód catmas'!$A$1:$G$233,4,FALSE),VLOOKUP(F129&amp;H129,'[1]apoio_cód catmas'!$A$1:$G$233,4,FALSE))</f>
        <v>ASSESSOR ESPECIALIZADO - 30H, 36H, 40H OU 44H</v>
      </c>
      <c r="H129" s="36">
        <v>40</v>
      </c>
      <c r="I129" s="37">
        <v>0.05</v>
      </c>
      <c r="J129" s="38" t="s">
        <v>47</v>
      </c>
      <c r="K129" s="39">
        <v>15</v>
      </c>
      <c r="L129" s="39">
        <f>K129*52</f>
        <v>780</v>
      </c>
      <c r="M129" s="40">
        <f>VLOOKUP(D129,[1]apoio_Preços_MGS!$A$6:$AN$238,18,FALSE)</f>
        <v>12851.65</v>
      </c>
      <c r="N129" s="40">
        <f>VLOOKUP(D129,[1]apoio_Preços_MGS!$A$6:$AN$238,19,FALSE)</f>
        <v>0</v>
      </c>
      <c r="O129" s="40">
        <f>VLOOKUP(D129,[1]apoio_Preços_MGS!$A$6:$AN$238,20,FALSE)</f>
        <v>0</v>
      </c>
      <c r="P129" s="40">
        <f>VLOOKUP(D129,[1]apoio_Preços_MGS!$A$6:$AN$238,21,FALSE)</f>
        <v>0</v>
      </c>
      <c r="Q129" s="40">
        <f>VLOOKUP(D129,[1]apoio_Preços_MGS!$A$6:$AN$238,22,FALSE)</f>
        <v>0</v>
      </c>
      <c r="R129" s="40">
        <f>VLOOKUP(D129,[1]apoio_Preços_MGS!$A$6:$AN$238,23,FALSE)</f>
        <v>0</v>
      </c>
      <c r="S129" s="40">
        <f>VLOOKUP(D129,[1]apoio_Preços_MGS!$A$6:$AN$238,24,FALSE)</f>
        <v>0</v>
      </c>
      <c r="T129" s="40">
        <f>VLOOKUP(D129,[1]apoio_Preços_MGS!$A$6:$AN$238,25,FALSE)</f>
        <v>0</v>
      </c>
      <c r="U129" s="40">
        <f t="shared" si="43"/>
        <v>12851.65</v>
      </c>
      <c r="V129" s="41">
        <v>0.81799999999999995</v>
      </c>
      <c r="W129" s="40">
        <f t="shared" si="44"/>
        <v>10512.6497</v>
      </c>
      <c r="X129" s="40">
        <f>VLOOKUP(D129,[1]apoio_Preços_MGS!$A$6:$AN$238,29,FALSE)</f>
        <v>0</v>
      </c>
      <c r="Y129" s="40">
        <f>VLOOKUP(D129,[1]apoio_Preços_MGS!$A$6:$AN$238,30,FALSE)</f>
        <v>0</v>
      </c>
      <c r="Z129" s="40">
        <f t="shared" si="45"/>
        <v>0</v>
      </c>
      <c r="AA129" s="40">
        <f>VLOOKUP(D129,[1]apoio_Preços_MGS!$A$6:$AN$238,32,FALSE)</f>
        <v>9.6</v>
      </c>
      <c r="AB129" s="40">
        <f>VLOOKUP(D129,[1]apoio_Preços_MGS!$A$6:$AN$238,33,FALSE)</f>
        <v>0</v>
      </c>
      <c r="AC129" s="41">
        <f>VLOOKUP(D129,[1]apoio_Preços_MGS!$A$6:$AN$238,34,FALSE)</f>
        <v>0</v>
      </c>
      <c r="AD129" s="40">
        <f>(U129+W129+Z129+AB129+AA129+VLOOKUP(C129,[1]apoio_Prec_Folha!$A:$S,7,FALSE))*AC129</f>
        <v>0</v>
      </c>
      <c r="AE129" s="42">
        <f>VLOOKUP(D129,[1]apoio_Preços_MGS!$A$6:$AN$238,36,FALSE)</f>
        <v>7.0000000000000007E-2</v>
      </c>
      <c r="AF129" s="40">
        <f>(U129+W129+Z129+AB129+AD129+AA129+VLOOKUP(C129,[1]apoio_Prec_Folha!$A:$S,7,FALSE))*AE129</f>
        <v>1674.7838589999999</v>
      </c>
      <c r="AG129" s="40">
        <f t="shared" si="46"/>
        <v>25048.68</v>
      </c>
      <c r="AH129" s="43">
        <f t="shared" si="47"/>
        <v>29211.26</v>
      </c>
      <c r="AI129" s="43">
        <f t="shared" si="48"/>
        <v>438168.89999999997</v>
      </c>
      <c r="AJ129" s="43">
        <f t="shared" si="49"/>
        <v>22784782.799999997</v>
      </c>
      <c r="AK129" s="44">
        <f>VLOOKUP(D129,[1]apoio_Preços_MGS!$A$6:$AN$238,39,FALSE)</f>
        <v>181.81818181818184</v>
      </c>
      <c r="AL129" s="44">
        <f>IF(J129="demais municípios",VLOOKUP(D129,[1]apoio_Preços_MGS!$A$6:$AN$238,39,FALSE),0)</f>
        <v>0</v>
      </c>
      <c r="AM129" s="44">
        <f>TRUNC(ROUND(($I129)/(1-($I129)),5)*VLOOKUP(D129,[1]apoio_Preços_MGS!$A$6:$AN$238,39,FALSE)+VLOOKUP(D129,[1]apoio_Preços_MGS!$A$6:$AN$238,39,FALSE),2)</f>
        <v>191.38</v>
      </c>
      <c r="AN129" s="45">
        <f t="shared" si="32"/>
        <v>2870.7</v>
      </c>
      <c r="AO129" s="44">
        <f>VLOOKUP(D129,[1]apoio_Preços_MGS!$A$6:$AN$238,40,FALSE)</f>
        <v>551.58000000000004</v>
      </c>
      <c r="AP129" s="44">
        <f>IF(J129="demais municípios",VLOOKUP(D129,[1]apoio_Preços_MGS!$A$6:$AN$238,40,FALSE),0)</f>
        <v>0</v>
      </c>
      <c r="AQ129" s="44">
        <f>TRUNC(ROUND(($I129)/(1-($I129)),5)*VLOOKUP(D129,[1]apoio_Preços_MGS!$A$6:$AN$238,40,FALSE)+VLOOKUP(D129,[1]apoio_Preços_MGS!$A$6:$AN$238,40,FALSE),2)</f>
        <v>580.6</v>
      </c>
      <c r="AR129" s="45">
        <f t="shared" si="33"/>
        <v>8709</v>
      </c>
      <c r="AS129" s="45">
        <f t="shared" si="34"/>
        <v>11579.7</v>
      </c>
      <c r="AT129" s="45">
        <f t="shared" si="35"/>
        <v>694782</v>
      </c>
      <c r="AU129" s="62"/>
      <c r="AV129" s="46"/>
      <c r="AW129" s="47"/>
      <c r="AX129" s="48"/>
      <c r="AY129" s="49"/>
      <c r="BA129" s="48"/>
    </row>
    <row r="130" spans="1:53" ht="19.5" customHeight="1" x14ac:dyDescent="0.25">
      <c r="A130" s="33" t="str">
        <f t="shared" si="30"/>
        <v>158496400,05</v>
      </c>
      <c r="B130" s="33" t="str">
        <f t="shared" si="31"/>
        <v>B0,05</v>
      </c>
      <c r="C130" s="34" t="str">
        <f>VLOOKUP(D130,[1]apoio_Preços_MGS!$A$6:$B$238,2,FALSE)</f>
        <v>AUXILIAR DE APOIO AO EDUCANDO</v>
      </c>
      <c r="D130" s="35" t="s">
        <v>49</v>
      </c>
      <c r="E130" s="33" t="str">
        <f>VLOOKUP(D130,[1]apoio_Preços_MGS!$A$6:$F$238,6,FALSE)</f>
        <v>AUXILIAR DE APOIO AO EDUCANDO - DIARISTA DIURNO - 40H</v>
      </c>
      <c r="F130" s="36">
        <v>158496</v>
      </c>
      <c r="G130" s="33" t="str">
        <f>IF(H130="N/A",VLOOKUP(F130&amp;40,'[1]apoio_cód catmas'!$A$1:$G$233,4,FALSE),VLOOKUP(F130&amp;H130,'[1]apoio_cód catmas'!$A$1:$G$233,4,FALSE))</f>
        <v>AUXILIAR DE APOIO AO EDUCANDO - 30H, 36H, 40H OU 44H</v>
      </c>
      <c r="H130" s="36">
        <v>40</v>
      </c>
      <c r="I130" s="37">
        <v>0.05</v>
      </c>
      <c r="J130" s="38" t="s">
        <v>47</v>
      </c>
      <c r="K130" s="39">
        <v>4</v>
      </c>
      <c r="L130" s="39">
        <f>K130*52</f>
        <v>208</v>
      </c>
      <c r="M130" s="40">
        <f>VLOOKUP(D130,[1]apoio_Preços_MGS!$A$6:$AN$238,18,FALSE)</f>
        <v>1978.2931818181819</v>
      </c>
      <c r="N130" s="40">
        <f>VLOOKUP(D130,[1]apoio_Preços_MGS!$A$6:$AN$238,19,FALSE)</f>
        <v>0</v>
      </c>
      <c r="O130" s="40">
        <f>VLOOKUP(D130,[1]apoio_Preços_MGS!$A$6:$AN$238,20,FALSE)</f>
        <v>0</v>
      </c>
      <c r="P130" s="40">
        <f>VLOOKUP(D130,[1]apoio_Preços_MGS!$A$6:$AN$238,21,FALSE)</f>
        <v>0</v>
      </c>
      <c r="Q130" s="40">
        <f>VLOOKUP(D130,[1]apoio_Preços_MGS!$A$6:$AN$238,22,FALSE)</f>
        <v>0</v>
      </c>
      <c r="R130" s="40">
        <f>VLOOKUP(D130,[1]apoio_Preços_MGS!$A$6:$AN$238,23,FALSE)</f>
        <v>0</v>
      </c>
      <c r="S130" s="40">
        <f>VLOOKUP(D130,[1]apoio_Preços_MGS!$A$6:$AN$238,24,FALSE)</f>
        <v>0</v>
      </c>
      <c r="T130" s="40">
        <f>VLOOKUP(D130,[1]apoio_Preços_MGS!$A$6:$AN$238,25,FALSE)</f>
        <v>0</v>
      </c>
      <c r="U130" s="40">
        <f t="shared" si="43"/>
        <v>1978.2931818181819</v>
      </c>
      <c r="V130" s="41">
        <v>0.81799999999999995</v>
      </c>
      <c r="W130" s="40">
        <f t="shared" si="44"/>
        <v>1618.2438227272728</v>
      </c>
      <c r="X130" s="40">
        <f>VLOOKUP(D130,[1]apoio_Preços_MGS!$A$6:$AN$238,29,FALSE)</f>
        <v>9.27</v>
      </c>
      <c r="Y130" s="40">
        <f>VLOOKUP(D130,[1]apoio_Preços_MGS!$A$6:$AN$238,30,FALSE)</f>
        <v>0</v>
      </c>
      <c r="Z130" s="40">
        <f t="shared" si="45"/>
        <v>9.27</v>
      </c>
      <c r="AA130" s="40">
        <f>VLOOKUP(D130,[1]apoio_Preços_MGS!$A$6:$AN$238,32,FALSE)</f>
        <v>3.798322909090909</v>
      </c>
      <c r="AB130" s="40">
        <f>VLOOKUP(D130,[1]apoio_Preços_MGS!$A$6:$AN$238,33,FALSE)</f>
        <v>431.30240909090912</v>
      </c>
      <c r="AC130" s="41">
        <f>VLOOKUP(D130,[1]apoio_Preços_MGS!$A$6:$AN$238,34,FALSE)</f>
        <v>0</v>
      </c>
      <c r="AD130" s="40">
        <f>(U130+W130+Z130+AB130+AA130+VLOOKUP(C130,[1]apoio_Prec_Folha!$A:$S,7,FALSE))*AC130</f>
        <v>0</v>
      </c>
      <c r="AE130" s="42">
        <f>VLOOKUP(D130,[1]apoio_Preços_MGS!$A$6:$AN$238,36,FALSE)</f>
        <v>7.0000000000000007E-2</v>
      </c>
      <c r="AF130" s="40">
        <f>(U130+W130+Z130+AB130+AD130+AA130+VLOOKUP(C130,[1]apoio_Prec_Folha!$A:$S,7,FALSE))*AE130</f>
        <v>321.47442155818186</v>
      </c>
      <c r="AG130" s="40">
        <f t="shared" si="46"/>
        <v>4362.38</v>
      </c>
      <c r="AH130" s="43">
        <f t="shared" si="47"/>
        <v>5087.32</v>
      </c>
      <c r="AI130" s="43">
        <f t="shared" si="48"/>
        <v>20349.28</v>
      </c>
      <c r="AJ130" s="43">
        <f t="shared" si="49"/>
        <v>1058162.56</v>
      </c>
      <c r="AK130" s="44">
        <f>VLOOKUP(D130,[1]apoio_Preços_MGS!$A$6:$AN$238,39,FALSE)</f>
        <v>181.81818181818184</v>
      </c>
      <c r="AL130" s="44">
        <f>IF(J130="demais municípios",VLOOKUP(D130,[1]apoio_Preços_MGS!$A$6:$AN$238,39,FALSE),0)</f>
        <v>0</v>
      </c>
      <c r="AM130" s="44">
        <f>TRUNC(ROUND(($I130)/(1-($I130)),5)*VLOOKUP(D130,[1]apoio_Preços_MGS!$A$6:$AN$238,39,FALSE)+VLOOKUP(D130,[1]apoio_Preços_MGS!$A$6:$AN$238,39,FALSE),2)</f>
        <v>191.38</v>
      </c>
      <c r="AN130" s="45">
        <f t="shared" si="32"/>
        <v>765.52</v>
      </c>
      <c r="AO130" s="44">
        <f>VLOOKUP(D130,[1]apoio_Preços_MGS!$A$6:$AN$238,40,FALSE)</f>
        <v>551.58000000000004</v>
      </c>
      <c r="AP130" s="44">
        <f>IF(J130="demais municípios",VLOOKUP(D130,[1]apoio_Preços_MGS!$A$6:$AN$238,40,FALSE),0)</f>
        <v>0</v>
      </c>
      <c r="AQ130" s="44">
        <f>TRUNC(ROUND(($I130)/(1-($I130)),5)*VLOOKUP(D130,[1]apoio_Preços_MGS!$A$6:$AN$238,40,FALSE)+VLOOKUP(D130,[1]apoio_Preços_MGS!$A$6:$AN$238,40,FALSE),2)</f>
        <v>580.6</v>
      </c>
      <c r="AR130" s="45">
        <f t="shared" si="33"/>
        <v>2322.4</v>
      </c>
      <c r="AS130" s="45">
        <f t="shared" si="34"/>
        <v>3087.92</v>
      </c>
      <c r="AT130" s="45">
        <f t="shared" si="35"/>
        <v>185275.2</v>
      </c>
      <c r="AU130" s="62"/>
      <c r="AV130" s="46"/>
      <c r="AW130" s="47"/>
      <c r="AX130" s="48"/>
      <c r="AY130" s="49"/>
      <c r="BA130" s="48"/>
    </row>
    <row r="131" spans="1:53" ht="19.5" customHeight="1" x14ac:dyDescent="0.25">
      <c r="A131" s="33" t="str">
        <f t="shared" ref="A131:A194" si="58">CONCATENATE(F131,H131,I131)</f>
        <v>106054440,03</v>
      </c>
      <c r="B131" s="33" t="str">
        <f t="shared" ref="B131:B194" si="59">CONCATENATE(D131,I131)</f>
        <v>4080,03</v>
      </c>
      <c r="C131" s="34" t="str">
        <f>VLOOKUP(D131,[1]apoio_Preços_MGS!$A$6:$B$238,2,FALSE)</f>
        <v>AUXILIAR DE LIMPEZA</v>
      </c>
      <c r="D131" s="35">
        <v>408</v>
      </c>
      <c r="E131" s="33" t="str">
        <f>VLOOKUP(D131,[1]apoio_Preços_MGS!$A$6:$F$238,6,FALSE)</f>
        <v>AUXILIAR DE LIMPEZA - (PERIC.) - DIARISTA DIURNO - 44H</v>
      </c>
      <c r="F131" s="36">
        <f>IFERROR(VLOOKUP(D131,'[1]apoio_cód catmas'!$B$2:$C$863,2,FALSE),0)</f>
        <v>106054</v>
      </c>
      <c r="G131" s="33" t="str">
        <f>IF(H131="N/A",VLOOKUP(F131&amp;40,'[1]apoio_cód catmas'!$A$1:$G$233,4,FALSE),VLOOKUP(F131&amp;H131,'[1]apoio_cód catmas'!$A$1:$G$233,4,FALSE))</f>
        <v>AUXILIAR DE LIMPEZA -  (PERICULOSIDADE) - 44H</v>
      </c>
      <c r="H131" s="36">
        <v>44</v>
      </c>
      <c r="I131" s="37">
        <v>0.03</v>
      </c>
      <c r="J131" s="38" t="s">
        <v>46</v>
      </c>
      <c r="K131" s="39">
        <v>7</v>
      </c>
      <c r="L131" s="39">
        <f t="shared" si="42"/>
        <v>420</v>
      </c>
      <c r="M131" s="40">
        <f>VLOOKUP(D131,[1]apoio_Preços_MGS!$A$6:$AN$238,18,FALSE)</f>
        <v>1794.7362817701783</v>
      </c>
      <c r="N131" s="40">
        <f>VLOOKUP(D131,[1]apoio_Preços_MGS!$A$6:$AN$238,19,FALSE)</f>
        <v>538.4208845310535</v>
      </c>
      <c r="O131" s="40">
        <f>VLOOKUP(D131,[1]apoio_Preços_MGS!$A$6:$AN$238,20,FALSE)</f>
        <v>0</v>
      </c>
      <c r="P131" s="40">
        <f>VLOOKUP(D131,[1]apoio_Preços_MGS!$A$6:$AN$238,21,FALSE)</f>
        <v>0</v>
      </c>
      <c r="Q131" s="40">
        <f>VLOOKUP(D131,[1]apoio_Preços_MGS!$A$6:$AN$238,22,FALSE)</f>
        <v>0</v>
      </c>
      <c r="R131" s="40">
        <f>VLOOKUP(D131,[1]apoio_Preços_MGS!$A$6:$AN$238,23,FALSE)</f>
        <v>0</v>
      </c>
      <c r="S131" s="40">
        <f>VLOOKUP(D131,[1]apoio_Preços_MGS!$A$6:$AN$238,24,FALSE)</f>
        <v>0</v>
      </c>
      <c r="T131" s="40">
        <f>VLOOKUP(D131,[1]apoio_Preços_MGS!$A$6:$AN$238,25,FALSE)</f>
        <v>0</v>
      </c>
      <c r="U131" s="40">
        <f t="shared" si="43"/>
        <v>2333.1571663012319</v>
      </c>
      <c r="V131" s="41">
        <v>0.81799999999999995</v>
      </c>
      <c r="W131" s="40">
        <f t="shared" si="44"/>
        <v>1908.5225620344077</v>
      </c>
      <c r="X131" s="40">
        <f>VLOOKUP(D131,[1]apoio_Preços_MGS!$A$6:$AN$238,29,FALSE)</f>
        <v>26.905000000000001</v>
      </c>
      <c r="Y131" s="40">
        <f>VLOOKUP(D131,[1]apoio_Preços_MGS!$A$6:$AN$238,30,FALSE)</f>
        <v>43.982906556598273</v>
      </c>
      <c r="Z131" s="40">
        <f t="shared" si="45"/>
        <v>70.887906556598267</v>
      </c>
      <c r="AA131" s="40">
        <f>VLOOKUP(D131,[1]apoio_Preços_MGS!$A$6:$AN$238,32,FALSE)</f>
        <v>3.4458936609987418</v>
      </c>
      <c r="AB131" s="40">
        <f>VLOOKUP(D131,[1]apoio_Preços_MGS!$A$6:$AN$238,33,FALSE)</f>
        <v>208.70493990461293</v>
      </c>
      <c r="AC131" s="41">
        <f>VLOOKUP(D131,[1]apoio_Preços_MGS!$A$6:$AN$238,34,FALSE)</f>
        <v>3.4323193950865784E-2</v>
      </c>
      <c r="AD131" s="40">
        <f>(U131+W131+Z131+AB131+AA131+VLOOKUP(C131,[1]apoio_Prec_Folha!$A:$S,7,FALSE))*AC131</f>
        <v>174.12634123937872</v>
      </c>
      <c r="AE131" s="42">
        <f>VLOOKUP(D131,[1]apoio_Preços_MGS!$A$6:$AN$238,36,FALSE)</f>
        <v>7.0000000000000007E-2</v>
      </c>
      <c r="AF131" s="40">
        <f>(U131+W131+Z131+AB131+AD131+AA131+VLOOKUP(C131,[1]apoio_Prec_Folha!$A:$S,7,FALSE))*AE131</f>
        <v>367.30858898405262</v>
      </c>
      <c r="AG131" s="40">
        <f t="shared" si="46"/>
        <v>5066.1499999999996</v>
      </c>
      <c r="AH131" s="43">
        <f t="shared" si="47"/>
        <v>5773.38</v>
      </c>
      <c r="AI131" s="43">
        <f t="shared" si="48"/>
        <v>40413.660000000003</v>
      </c>
      <c r="AJ131" s="43">
        <f t="shared" si="49"/>
        <v>2424819.6</v>
      </c>
      <c r="AK131" s="44">
        <f>VLOOKUP(D131,[1]apoio_Preços_MGS!$A$6:$AN$238,39,FALSE)</f>
        <v>200.00000000000003</v>
      </c>
      <c r="AL131" s="44">
        <f>IF(J131="demais municípios",VLOOKUP(D131,[1]apoio_Preços_MGS!$A$6:$AN$238,39,FALSE),0)</f>
        <v>200.00000000000003</v>
      </c>
      <c r="AM131" s="44">
        <v>0</v>
      </c>
      <c r="AN131" s="45">
        <f>AK131*K131</f>
        <v>1400.0000000000002</v>
      </c>
      <c r="AO131" s="44">
        <f>VLOOKUP(D131,[1]apoio_Preços_MGS!$A$6:$AN$238,40,FALSE)</f>
        <v>548.41999999999996</v>
      </c>
      <c r="AP131" s="44">
        <f>IF(J131="demais municípios",VLOOKUP(D131,[1]apoio_Preços_MGS!$A$6:$AN$238,40,FALSE),0)</f>
        <v>548.41999999999996</v>
      </c>
      <c r="AQ131" s="44">
        <v>0</v>
      </c>
      <c r="AR131" s="45">
        <f>AO131*K131</f>
        <v>3838.9399999999996</v>
      </c>
      <c r="AS131" s="45">
        <f t="shared" ref="AS131:AS194" si="60">AN131+AR131</f>
        <v>5238.9399999999996</v>
      </c>
      <c r="AT131" s="45">
        <f t="shared" si="35"/>
        <v>314336.39999999997</v>
      </c>
      <c r="AU131" s="62"/>
      <c r="AV131" s="46"/>
      <c r="AW131" s="47"/>
      <c r="AX131" s="48"/>
      <c r="AY131" s="49"/>
      <c r="BA131" s="48"/>
    </row>
    <row r="132" spans="1:53" ht="19.5" customHeight="1" x14ac:dyDescent="0.25">
      <c r="A132" s="33" t="str">
        <f t="shared" si="58"/>
        <v>106054440,05</v>
      </c>
      <c r="B132" s="33" t="str">
        <f t="shared" si="59"/>
        <v>4080,05</v>
      </c>
      <c r="C132" s="34" t="str">
        <f>VLOOKUP(D132,[1]apoio_Preços_MGS!$A$6:$B$238,2,FALSE)</f>
        <v>AUXILIAR DE LIMPEZA</v>
      </c>
      <c r="D132" s="35">
        <v>408</v>
      </c>
      <c r="E132" s="33" t="str">
        <f>VLOOKUP(D132,[1]apoio_Preços_MGS!$A$6:$F$238,6,FALSE)</f>
        <v>AUXILIAR DE LIMPEZA - (PERIC.) - DIARISTA DIURNO - 44H</v>
      </c>
      <c r="F132" s="36">
        <f>IFERROR(VLOOKUP(D132,'[1]apoio_cód catmas'!$B$2:$C$863,2,FALSE),0)</f>
        <v>106054</v>
      </c>
      <c r="G132" s="33" t="str">
        <f>IF(H132="N/A",VLOOKUP(F132&amp;40,'[1]apoio_cód catmas'!$A$1:$G$233,4,FALSE),VLOOKUP(F132&amp;H132,'[1]apoio_cód catmas'!$A$1:$G$233,4,FALSE))</f>
        <v>AUXILIAR DE LIMPEZA -  (PERICULOSIDADE) - 44H</v>
      </c>
      <c r="H132" s="36">
        <v>44</v>
      </c>
      <c r="I132" s="37">
        <v>0.05</v>
      </c>
      <c r="J132" s="38" t="s">
        <v>47</v>
      </c>
      <c r="K132" s="39">
        <v>8</v>
      </c>
      <c r="L132" s="39">
        <f t="shared" si="42"/>
        <v>480</v>
      </c>
      <c r="M132" s="40">
        <f>VLOOKUP(D132,[1]apoio_Preços_MGS!$A$6:$AN$238,18,FALSE)</f>
        <v>1794.7362817701783</v>
      </c>
      <c r="N132" s="40">
        <f>VLOOKUP(D132,[1]apoio_Preços_MGS!$A$6:$AN$238,19,FALSE)</f>
        <v>538.4208845310535</v>
      </c>
      <c r="O132" s="40">
        <f>VLOOKUP(D132,[1]apoio_Preços_MGS!$A$6:$AN$238,20,FALSE)</f>
        <v>0</v>
      </c>
      <c r="P132" s="40">
        <f>VLOOKUP(D132,[1]apoio_Preços_MGS!$A$6:$AN$238,21,FALSE)</f>
        <v>0</v>
      </c>
      <c r="Q132" s="40">
        <f>VLOOKUP(D132,[1]apoio_Preços_MGS!$A$6:$AN$238,22,FALSE)</f>
        <v>0</v>
      </c>
      <c r="R132" s="40">
        <f>VLOOKUP(D132,[1]apoio_Preços_MGS!$A$6:$AN$238,23,FALSE)</f>
        <v>0</v>
      </c>
      <c r="S132" s="40">
        <f>VLOOKUP(D132,[1]apoio_Preços_MGS!$A$6:$AN$238,24,FALSE)</f>
        <v>0</v>
      </c>
      <c r="T132" s="40">
        <f>VLOOKUP(D132,[1]apoio_Preços_MGS!$A$6:$AN$238,25,FALSE)</f>
        <v>0</v>
      </c>
      <c r="U132" s="40">
        <f t="shared" si="43"/>
        <v>2333.1571663012319</v>
      </c>
      <c r="V132" s="41">
        <v>0.81799999999999995</v>
      </c>
      <c r="W132" s="40">
        <f t="shared" si="44"/>
        <v>1908.5225620344077</v>
      </c>
      <c r="X132" s="40">
        <f>VLOOKUP(D132,[1]apoio_Preços_MGS!$A$6:$AN$238,29,FALSE)</f>
        <v>26.905000000000001</v>
      </c>
      <c r="Y132" s="40">
        <f>VLOOKUP(D132,[1]apoio_Preços_MGS!$A$6:$AN$238,30,FALSE)</f>
        <v>43.982906556598273</v>
      </c>
      <c r="Z132" s="40">
        <f t="shared" si="45"/>
        <v>70.887906556598267</v>
      </c>
      <c r="AA132" s="40">
        <f>VLOOKUP(D132,[1]apoio_Preços_MGS!$A$6:$AN$238,32,FALSE)</f>
        <v>3.4458936609987418</v>
      </c>
      <c r="AB132" s="40">
        <f>VLOOKUP(D132,[1]apoio_Preços_MGS!$A$6:$AN$238,33,FALSE)</f>
        <v>208.70493990461293</v>
      </c>
      <c r="AC132" s="41">
        <f>VLOOKUP(D132,[1]apoio_Preços_MGS!$A$6:$AN$238,34,FALSE)</f>
        <v>3.4323193950865784E-2</v>
      </c>
      <c r="AD132" s="40">
        <f>(U132+W132+Z132+AB132+AA132+VLOOKUP(C132,[1]apoio_Prec_Folha!$A:$S,7,FALSE))*AC132</f>
        <v>174.12634123937872</v>
      </c>
      <c r="AE132" s="42">
        <f>VLOOKUP(D132,[1]apoio_Preços_MGS!$A$6:$AN$238,36,FALSE)</f>
        <v>7.0000000000000007E-2</v>
      </c>
      <c r="AF132" s="40">
        <f>(U132+W132+Z132+AB132+AD132+AA132+VLOOKUP(C132,[1]apoio_Prec_Folha!$A:$S,7,FALSE))*AE132</f>
        <v>367.30858898405262</v>
      </c>
      <c r="AG132" s="40">
        <f t="shared" si="46"/>
        <v>5066.1499999999996</v>
      </c>
      <c r="AH132" s="43">
        <f t="shared" si="47"/>
        <v>5908.04</v>
      </c>
      <c r="AI132" s="43">
        <f t="shared" si="48"/>
        <v>47264.32</v>
      </c>
      <c r="AJ132" s="43">
        <f t="shared" si="49"/>
        <v>2835859.2</v>
      </c>
      <c r="AK132" s="44">
        <f>VLOOKUP(D132,[1]apoio_Preços_MGS!$A$6:$AN$238,39,FALSE)</f>
        <v>200.00000000000003</v>
      </c>
      <c r="AL132" s="44">
        <f>IF(J132="demais municípios",VLOOKUP(D132,[1]apoio_Preços_MGS!$A$6:$AN$238,39,FALSE),0)</f>
        <v>0</v>
      </c>
      <c r="AM132" s="44">
        <f>TRUNC(ROUND(($I132)/(1-($I132)),5)*VLOOKUP(D132,[1]apoio_Preços_MGS!$A$6:$AN$238,39,FALSE)+VLOOKUP(D132,[1]apoio_Preços_MGS!$A$6:$AN$238,39,FALSE),2)</f>
        <v>210.52</v>
      </c>
      <c r="AN132" s="45">
        <f t="shared" ref="AN132:AN194" si="61">AM132*K132</f>
        <v>1684.16</v>
      </c>
      <c r="AO132" s="44">
        <f>VLOOKUP(D132,[1]apoio_Preços_MGS!$A$6:$AN$238,40,FALSE)</f>
        <v>548.41999999999996</v>
      </c>
      <c r="AP132" s="44">
        <f>IF(J132="demais municípios",VLOOKUP(D132,[1]apoio_Preços_MGS!$A$6:$AN$238,40,FALSE),0)</f>
        <v>0</v>
      </c>
      <c r="AQ132" s="44">
        <f>TRUNC(ROUND(($I132)/(1-($I132)),5)*VLOOKUP(D132,[1]apoio_Preços_MGS!$A$6:$AN$238,40,FALSE)+VLOOKUP(D132,[1]apoio_Preços_MGS!$A$6:$AN$238,40,FALSE),2)</f>
        <v>577.28</v>
      </c>
      <c r="AR132" s="45">
        <f t="shared" ref="AR132:AR194" si="62">AQ132*K132</f>
        <v>4618.24</v>
      </c>
      <c r="AS132" s="45">
        <f t="shared" si="60"/>
        <v>6302.4</v>
      </c>
      <c r="AT132" s="45">
        <f t="shared" ref="AT132:AT195" si="63">(AN132+AR132)*60</f>
        <v>378144</v>
      </c>
      <c r="AU132" s="62"/>
      <c r="AV132" s="46"/>
      <c r="AW132" s="47"/>
      <c r="AX132" s="48"/>
      <c r="AY132" s="49"/>
      <c r="BA132" s="48"/>
    </row>
    <row r="133" spans="1:53" ht="19.5" customHeight="1" x14ac:dyDescent="0.25">
      <c r="A133" s="33" t="str">
        <f t="shared" si="58"/>
        <v>100412400,05</v>
      </c>
      <c r="B133" s="33" t="str">
        <f t="shared" si="59"/>
        <v>11650,05</v>
      </c>
      <c r="C133" s="34" t="str">
        <f>VLOOKUP(D133,[1]apoio_Preços_MGS!$A$6:$B$238,2,FALSE)</f>
        <v>AUXILIAR DE LIMPEZA</v>
      </c>
      <c r="D133" s="35">
        <v>1165</v>
      </c>
      <c r="E133" s="33" t="str">
        <f>VLOOKUP(D133,[1]apoio_Preços_MGS!$A$6:$F$238,6,FALSE)</f>
        <v>AUXILIAR DE LIMPEZA - (PERIC.) - DIARISTA DIURNO - 40H</v>
      </c>
      <c r="F133" s="36">
        <f>IFERROR(VLOOKUP(D133,'[1]apoio_cód catmas'!$B$2:$C$863,2,FALSE),0)</f>
        <v>100412</v>
      </c>
      <c r="G133" s="33" t="str">
        <f>IF(H133="N/A",VLOOKUP(F133&amp;40,'[1]apoio_cód catmas'!$A$1:$G$233,4,FALSE),VLOOKUP(F133&amp;H133,'[1]apoio_cód catmas'!$A$1:$G$233,4,FALSE))</f>
        <v>AUXILIAR DE LIMPEZA - (PERICULOSIDADE) - 40H</v>
      </c>
      <c r="H133" s="36">
        <v>40</v>
      </c>
      <c r="I133" s="37">
        <v>0.05</v>
      </c>
      <c r="J133" s="38" t="s">
        <v>46</v>
      </c>
      <c r="K133" s="39">
        <f>11-K134</f>
        <v>1</v>
      </c>
      <c r="L133" s="39">
        <f t="shared" si="42"/>
        <v>60</v>
      </c>
      <c r="M133" s="40">
        <f>VLOOKUP(D133,[1]apoio_Preços_MGS!$A$6:$AN$238,18,FALSE)</f>
        <v>1631.5784379728893</v>
      </c>
      <c r="N133" s="40">
        <f>VLOOKUP(D133,[1]apoio_Preços_MGS!$A$6:$AN$238,19,FALSE)</f>
        <v>489.4735313918668</v>
      </c>
      <c r="O133" s="40">
        <f>VLOOKUP(D133,[1]apoio_Preços_MGS!$A$6:$AN$238,20,FALSE)</f>
        <v>0</v>
      </c>
      <c r="P133" s="40">
        <f>VLOOKUP(D133,[1]apoio_Preços_MGS!$A$6:$AN$238,21,FALSE)</f>
        <v>0</v>
      </c>
      <c r="Q133" s="40">
        <f>VLOOKUP(D133,[1]apoio_Preços_MGS!$A$6:$AN$238,22,FALSE)</f>
        <v>0</v>
      </c>
      <c r="R133" s="40">
        <f>VLOOKUP(D133,[1]apoio_Preços_MGS!$A$6:$AN$238,23,FALSE)</f>
        <v>0</v>
      </c>
      <c r="S133" s="40">
        <f>VLOOKUP(D133,[1]apoio_Preços_MGS!$A$6:$AN$238,24,FALSE)</f>
        <v>0</v>
      </c>
      <c r="T133" s="40">
        <f>VLOOKUP(D133,[1]apoio_Preços_MGS!$A$6:$AN$238,25,FALSE)</f>
        <v>0</v>
      </c>
      <c r="U133" s="40">
        <f t="shared" si="43"/>
        <v>2121.0519693647561</v>
      </c>
      <c r="V133" s="41">
        <v>0.81799999999999995</v>
      </c>
      <c r="W133" s="40">
        <f t="shared" si="44"/>
        <v>1735.0205109403705</v>
      </c>
      <c r="X133" s="40">
        <f>VLOOKUP(D133,[1]apoio_Preços_MGS!$A$6:$AN$238,29,FALSE)</f>
        <v>26.905000000000001</v>
      </c>
      <c r="Y133" s="40">
        <f>VLOOKUP(D133,[1]apoio_Preços_MGS!$A$6:$AN$238,30,FALSE)</f>
        <v>43.982906556598273</v>
      </c>
      <c r="Z133" s="40">
        <f t="shared" si="45"/>
        <v>70.887906556598267</v>
      </c>
      <c r="AA133" s="40">
        <f>VLOOKUP(D133,[1]apoio_Preços_MGS!$A$6:$AN$238,32,FALSE)</f>
        <v>3.1326306009079472</v>
      </c>
      <c r="AB133" s="40">
        <f>VLOOKUP(D133,[1]apoio_Preços_MGS!$A$6:$AN$238,33,FALSE)</f>
        <v>216.13681033386553</v>
      </c>
      <c r="AC133" s="41">
        <f>VLOOKUP(D133,[1]apoio_Preços_MGS!$A$6:$AN$238,34,FALSE)</f>
        <v>3.4323193950865784E-2</v>
      </c>
      <c r="AD133" s="40">
        <f>(U133+W133+Z133+AB133+AA133+VLOOKUP(C133,[1]apoio_Prec_Folha!$A:$S,7,FALSE))*AC133</f>
        <v>161.13540221775963</v>
      </c>
      <c r="AE133" s="42">
        <f>VLOOKUP(D133,[1]apoio_Preços_MGS!$A$6:$AN$238,36,FALSE)</f>
        <v>7.0000000000000007E-2</v>
      </c>
      <c r="AF133" s="40">
        <f>(U133+W133+Z133+AB133+AD133+AA133+VLOOKUP(C133,[1]apoio_Prec_Folha!$A:$S,7,FALSE))*AE133</f>
        <v>339.90501840624466</v>
      </c>
      <c r="AG133" s="40">
        <f t="shared" si="46"/>
        <v>4647.2700000000004</v>
      </c>
      <c r="AH133" s="43">
        <f t="shared" si="47"/>
        <v>5419.55</v>
      </c>
      <c r="AI133" s="43">
        <f t="shared" si="48"/>
        <v>5419.55</v>
      </c>
      <c r="AJ133" s="43">
        <f t="shared" si="49"/>
        <v>325173</v>
      </c>
      <c r="AK133" s="44">
        <f>VLOOKUP(D133,[1]apoio_Preços_MGS!$A$6:$AN$238,39,FALSE)</f>
        <v>181.81818181818184</v>
      </c>
      <c r="AL133" s="44">
        <f>IF(J133="demais municípios",VLOOKUP(D133,[1]apoio_Preços_MGS!$A$6:$AN$238,39,FALSE),0)</f>
        <v>181.81818181818184</v>
      </c>
      <c r="AM133" s="44">
        <v>0</v>
      </c>
      <c r="AN133" s="45">
        <f>AK133*K133</f>
        <v>181.81818181818184</v>
      </c>
      <c r="AO133" s="44">
        <f>VLOOKUP(D133,[1]apoio_Preços_MGS!$A$6:$AN$238,40,FALSE)</f>
        <v>548.41999999999996</v>
      </c>
      <c r="AP133" s="44">
        <f>IF(J133="demais municípios",VLOOKUP(D133,[1]apoio_Preços_MGS!$A$6:$AN$238,40,FALSE),0)</f>
        <v>548.41999999999996</v>
      </c>
      <c r="AQ133" s="44">
        <v>0</v>
      </c>
      <c r="AR133" s="45">
        <f>AO133*K133</f>
        <v>548.41999999999996</v>
      </c>
      <c r="AS133" s="45">
        <f t="shared" si="60"/>
        <v>730.23818181818183</v>
      </c>
      <c r="AT133" s="45">
        <f t="shared" si="63"/>
        <v>43814.290909090909</v>
      </c>
      <c r="AU133" s="62"/>
      <c r="AV133" s="46"/>
      <c r="AW133" s="47"/>
      <c r="AX133" s="48"/>
      <c r="AY133" s="49"/>
      <c r="BA133" s="48"/>
    </row>
    <row r="134" spans="1:53" ht="19.5" customHeight="1" x14ac:dyDescent="0.25">
      <c r="A134" s="33" t="str">
        <f t="shared" si="58"/>
        <v>100412400,05</v>
      </c>
      <c r="B134" s="33" t="str">
        <f t="shared" si="59"/>
        <v>11650,05</v>
      </c>
      <c r="C134" s="34" t="str">
        <f>VLOOKUP(D134,[1]apoio_Preços_MGS!$A$6:$B$238,2,FALSE)</f>
        <v>AUXILIAR DE LIMPEZA</v>
      </c>
      <c r="D134" s="35">
        <v>1165</v>
      </c>
      <c r="E134" s="33" t="str">
        <f>VLOOKUP(D134,[1]apoio_Preços_MGS!$A$6:$F$238,6,FALSE)</f>
        <v>AUXILIAR DE LIMPEZA - (PERIC.) - DIARISTA DIURNO - 40H</v>
      </c>
      <c r="F134" s="36">
        <f>IFERROR(VLOOKUP(D134,'[1]apoio_cód catmas'!$B$2:$C$863,2,FALSE),0)</f>
        <v>100412</v>
      </c>
      <c r="G134" s="33" t="str">
        <f>IF(H134="N/A",VLOOKUP(F134&amp;40,'[1]apoio_cód catmas'!$A$1:$G$233,4,FALSE),VLOOKUP(F134&amp;H134,'[1]apoio_cód catmas'!$A$1:$G$233,4,FALSE))</f>
        <v>AUXILIAR DE LIMPEZA - (PERICULOSIDADE) - 40H</v>
      </c>
      <c r="H134" s="36">
        <v>40</v>
      </c>
      <c r="I134" s="37">
        <v>0.05</v>
      </c>
      <c r="J134" s="38" t="s">
        <v>47</v>
      </c>
      <c r="K134" s="39">
        <v>10</v>
      </c>
      <c r="L134" s="39">
        <f t="shared" si="42"/>
        <v>600</v>
      </c>
      <c r="M134" s="40">
        <f>VLOOKUP(D134,[1]apoio_Preços_MGS!$A$6:$AN$238,18,FALSE)</f>
        <v>1631.5784379728893</v>
      </c>
      <c r="N134" s="40">
        <f>VLOOKUP(D134,[1]apoio_Preços_MGS!$A$6:$AN$238,19,FALSE)</f>
        <v>489.4735313918668</v>
      </c>
      <c r="O134" s="40">
        <f>VLOOKUP(D134,[1]apoio_Preços_MGS!$A$6:$AN$238,20,FALSE)</f>
        <v>0</v>
      </c>
      <c r="P134" s="40">
        <f>VLOOKUP(D134,[1]apoio_Preços_MGS!$A$6:$AN$238,21,FALSE)</f>
        <v>0</v>
      </c>
      <c r="Q134" s="40">
        <f>VLOOKUP(D134,[1]apoio_Preços_MGS!$A$6:$AN$238,22,FALSE)</f>
        <v>0</v>
      </c>
      <c r="R134" s="40">
        <f>VLOOKUP(D134,[1]apoio_Preços_MGS!$A$6:$AN$238,23,FALSE)</f>
        <v>0</v>
      </c>
      <c r="S134" s="40">
        <f>VLOOKUP(D134,[1]apoio_Preços_MGS!$A$6:$AN$238,24,FALSE)</f>
        <v>0</v>
      </c>
      <c r="T134" s="40">
        <f>VLOOKUP(D134,[1]apoio_Preços_MGS!$A$6:$AN$238,25,FALSE)</f>
        <v>0</v>
      </c>
      <c r="U134" s="40">
        <f t="shared" si="43"/>
        <v>2121.0519693647561</v>
      </c>
      <c r="V134" s="41">
        <v>0.81799999999999995</v>
      </c>
      <c r="W134" s="40">
        <f t="shared" si="44"/>
        <v>1735.0205109403705</v>
      </c>
      <c r="X134" s="40">
        <f>VLOOKUP(D134,[1]apoio_Preços_MGS!$A$6:$AN$238,29,FALSE)</f>
        <v>26.905000000000001</v>
      </c>
      <c r="Y134" s="40">
        <f>VLOOKUP(D134,[1]apoio_Preços_MGS!$A$6:$AN$238,30,FALSE)</f>
        <v>43.982906556598273</v>
      </c>
      <c r="Z134" s="40">
        <f t="shared" si="45"/>
        <v>70.887906556598267</v>
      </c>
      <c r="AA134" s="40">
        <f>VLOOKUP(D134,[1]apoio_Preços_MGS!$A$6:$AN$238,32,FALSE)</f>
        <v>3.1326306009079472</v>
      </c>
      <c r="AB134" s="40">
        <f>VLOOKUP(D134,[1]apoio_Preços_MGS!$A$6:$AN$238,33,FALSE)</f>
        <v>216.13681033386553</v>
      </c>
      <c r="AC134" s="41">
        <f>VLOOKUP(D134,[1]apoio_Preços_MGS!$A$6:$AN$238,34,FALSE)</f>
        <v>3.4323193950865784E-2</v>
      </c>
      <c r="AD134" s="40">
        <f>(U134+W134+Z134+AB134+AA134+VLOOKUP(C134,[1]apoio_Prec_Folha!$A:$S,7,FALSE))*AC134</f>
        <v>161.13540221775963</v>
      </c>
      <c r="AE134" s="42">
        <f>VLOOKUP(D134,[1]apoio_Preços_MGS!$A$6:$AN$238,36,FALSE)</f>
        <v>7.0000000000000007E-2</v>
      </c>
      <c r="AF134" s="40">
        <f>(U134+W134+Z134+AB134+AD134+AA134+VLOOKUP(C134,[1]apoio_Prec_Folha!$A:$S,7,FALSE))*AE134</f>
        <v>339.90501840624466</v>
      </c>
      <c r="AG134" s="40">
        <f t="shared" si="46"/>
        <v>4647.2700000000004</v>
      </c>
      <c r="AH134" s="43">
        <f t="shared" si="47"/>
        <v>5419.55</v>
      </c>
      <c r="AI134" s="43">
        <f t="shared" si="48"/>
        <v>54195.5</v>
      </c>
      <c r="AJ134" s="43">
        <f t="shared" si="49"/>
        <v>3251730</v>
      </c>
      <c r="AK134" s="44">
        <f>VLOOKUP(D134,[1]apoio_Preços_MGS!$A$6:$AN$238,39,FALSE)</f>
        <v>181.81818181818184</v>
      </c>
      <c r="AL134" s="44">
        <f>IF(J134="demais municípios",VLOOKUP(D134,[1]apoio_Preços_MGS!$A$6:$AN$238,39,FALSE),0)</f>
        <v>0</v>
      </c>
      <c r="AM134" s="44">
        <f>TRUNC(ROUND(($I134)/(1-($I134)),5)*VLOOKUP(D134,[1]apoio_Preços_MGS!$A$6:$AN$238,39,FALSE)+VLOOKUP(D134,[1]apoio_Preços_MGS!$A$6:$AN$238,39,FALSE),2)</f>
        <v>191.38</v>
      </c>
      <c r="AN134" s="45">
        <f t="shared" si="61"/>
        <v>1913.8</v>
      </c>
      <c r="AO134" s="44">
        <f>VLOOKUP(D134,[1]apoio_Preços_MGS!$A$6:$AN$238,40,FALSE)</f>
        <v>548.41999999999996</v>
      </c>
      <c r="AP134" s="44">
        <f>IF(J134="demais municípios",VLOOKUP(D134,[1]apoio_Preços_MGS!$A$6:$AN$238,40,FALSE),0)</f>
        <v>0</v>
      </c>
      <c r="AQ134" s="44">
        <f>TRUNC(ROUND(($I134)/(1-($I134)),5)*VLOOKUP(D134,[1]apoio_Preços_MGS!$A$6:$AN$238,40,FALSE)+VLOOKUP(D134,[1]apoio_Preços_MGS!$A$6:$AN$238,40,FALSE),2)</f>
        <v>577.28</v>
      </c>
      <c r="AR134" s="45">
        <f t="shared" si="62"/>
        <v>5772.7999999999993</v>
      </c>
      <c r="AS134" s="45">
        <f t="shared" si="60"/>
        <v>7686.5999999999995</v>
      </c>
      <c r="AT134" s="45">
        <f t="shared" si="63"/>
        <v>461195.99999999994</v>
      </c>
      <c r="AU134" s="62"/>
      <c r="AV134" s="46"/>
      <c r="AW134" s="47"/>
      <c r="AX134" s="48"/>
      <c r="AY134" s="49"/>
      <c r="BA134" s="48"/>
    </row>
    <row r="135" spans="1:53" ht="19.5" customHeight="1" x14ac:dyDescent="0.25">
      <c r="A135" s="33" t="str">
        <f t="shared" si="58"/>
        <v>106062440,02</v>
      </c>
      <c r="B135" s="33" t="str">
        <f t="shared" si="59"/>
        <v>2790,02</v>
      </c>
      <c r="C135" s="34" t="str">
        <f>VLOOKUP(D135,[1]apoio_Preços_MGS!$A$6:$B$238,2,FALSE)</f>
        <v>AUXILIAR DE LIMPEZA</v>
      </c>
      <c r="D135" s="35">
        <v>279</v>
      </c>
      <c r="E135" s="33" t="str">
        <f>VLOOKUP(D135,[1]apoio_Preços_MGS!$A$6:$F$238,6,FALSE)</f>
        <v>AUXILIAR DE LIMPEZA - 12x36 DIURNO - 44H</v>
      </c>
      <c r="F135" s="36">
        <f>IFERROR(VLOOKUP(D135,'[1]apoio_cód catmas'!$B$2:$C$863,2,FALSE),0)</f>
        <v>106062</v>
      </c>
      <c r="G135" s="33" t="str">
        <f>IF(H135="N/A",VLOOKUP(F135&amp;40,'[1]apoio_cód catmas'!$A$1:$G$233,4,FALSE),VLOOKUP(F135&amp;H135,'[1]apoio_cód catmas'!$A$1:$G$233,4,FALSE))</f>
        <v>AUXILIAR DE LIMPEZA - 12X36 DIURNO - 44H</v>
      </c>
      <c r="H135" s="36">
        <v>44</v>
      </c>
      <c r="I135" s="37">
        <v>0.02</v>
      </c>
      <c r="J135" s="38" t="s">
        <v>46</v>
      </c>
      <c r="K135" s="39">
        <v>98</v>
      </c>
      <c r="L135" s="39">
        <f t="shared" si="42"/>
        <v>5880</v>
      </c>
      <c r="M135" s="40">
        <f>VLOOKUP(D135,[1]apoio_Preços_MGS!$A$6:$AN$238,18,FALSE)</f>
        <v>1794.7362817701783</v>
      </c>
      <c r="N135" s="40">
        <f>VLOOKUP(D135,[1]apoio_Preços_MGS!$A$6:$AN$238,19,FALSE)</f>
        <v>0</v>
      </c>
      <c r="O135" s="40">
        <f>VLOOKUP(D135,[1]apoio_Preços_MGS!$A$6:$AN$238,20,FALSE)</f>
        <v>0</v>
      </c>
      <c r="P135" s="40">
        <f>VLOOKUP(D135,[1]apoio_Preços_MGS!$A$6:$AN$238,21,FALSE)</f>
        <v>0</v>
      </c>
      <c r="Q135" s="40">
        <f>VLOOKUP(D135,[1]apoio_Preços_MGS!$A$6:$AN$238,22,FALSE)</f>
        <v>0</v>
      </c>
      <c r="R135" s="40">
        <f>VLOOKUP(D135,[1]apoio_Preços_MGS!$A$6:$AN$238,23,FALSE)</f>
        <v>0</v>
      </c>
      <c r="S135" s="40">
        <f>VLOOKUP(D135,[1]apoio_Preços_MGS!$A$6:$AN$238,24,FALSE)</f>
        <v>0</v>
      </c>
      <c r="T135" s="40">
        <f>VLOOKUP(D135,[1]apoio_Preços_MGS!$A$6:$AN$238,25,FALSE)</f>
        <v>2.4926892802363585</v>
      </c>
      <c r="U135" s="40">
        <f t="shared" si="43"/>
        <v>1797.2289710504147</v>
      </c>
      <c r="V135" s="41">
        <v>0.81799999999999995</v>
      </c>
      <c r="W135" s="40">
        <f t="shared" si="44"/>
        <v>1470.1332983192392</v>
      </c>
      <c r="X135" s="40">
        <f>VLOOKUP(D135,[1]apoio_Preços_MGS!$A$6:$AN$238,29,FALSE)</f>
        <v>26.905000000000001</v>
      </c>
      <c r="Y135" s="40">
        <f>VLOOKUP(D135,[1]apoio_Preços_MGS!$A$6:$AN$238,30,FALSE)</f>
        <v>43.982906556598273</v>
      </c>
      <c r="Z135" s="40">
        <f t="shared" si="45"/>
        <v>70.887906556598267</v>
      </c>
      <c r="AA135" s="40">
        <f>VLOOKUP(D135,[1]apoio_Preços_MGS!$A$6:$AN$238,32,FALSE)</f>
        <v>3.4458936609987418</v>
      </c>
      <c r="AB135" s="40">
        <f>VLOOKUP(D135,[1]apoio_Preços_MGS!$A$6:$AN$238,33,FALSE)</f>
        <v>208.70493990461293</v>
      </c>
      <c r="AC135" s="41">
        <f>VLOOKUP(D135,[1]apoio_Preços_MGS!$A$6:$AN$238,34,FALSE)</f>
        <v>3.4323193950865784E-2</v>
      </c>
      <c r="AD135" s="40">
        <f>(U135+W135+Z135+AB135+AA135+VLOOKUP(C135,[1]apoio_Prec_Folha!$A:$S,7,FALSE))*AC135</f>
        <v>140.6846541255745</v>
      </c>
      <c r="AE135" s="42">
        <f>VLOOKUP(D135,[1]apoio_Preços_MGS!$A$6:$AN$238,36,FALSE)</f>
        <v>7.0000000000000007E-2</v>
      </c>
      <c r="AF135" s="40">
        <f>(U135+W135+Z135+AB135+AD135+AA135+VLOOKUP(C135,[1]apoio_Prec_Folha!$A:$S,7,FALSE))*AE135</f>
        <v>296.7654487584673</v>
      </c>
      <c r="AG135" s="40">
        <f t="shared" si="46"/>
        <v>3987.85</v>
      </c>
      <c r="AH135" s="43">
        <f t="shared" si="47"/>
        <v>4493.34</v>
      </c>
      <c r="AI135" s="43">
        <f t="shared" si="48"/>
        <v>440347.32</v>
      </c>
      <c r="AJ135" s="43">
        <f t="shared" si="49"/>
        <v>26420839.199999999</v>
      </c>
      <c r="AK135" s="44">
        <f>VLOOKUP(D135,[1]apoio_Preços_MGS!$A$6:$AN$238,39,FALSE)</f>
        <v>200.00000000000003</v>
      </c>
      <c r="AL135" s="44">
        <f>IF(J135="demais municípios",VLOOKUP(D135,[1]apoio_Preços_MGS!$A$6:$AN$238,39,FALSE),0)</f>
        <v>200.00000000000003</v>
      </c>
      <c r="AM135" s="44">
        <v>0</v>
      </c>
      <c r="AN135" s="45">
        <f t="shared" ref="AN135:AN141" si="64">AK135*K135</f>
        <v>19600.000000000004</v>
      </c>
      <c r="AO135" s="44">
        <f>VLOOKUP(D135,[1]apoio_Preços_MGS!$A$6:$AN$238,40,FALSE)</f>
        <v>548.41999999999996</v>
      </c>
      <c r="AP135" s="44">
        <f>IF(J135="demais municípios",VLOOKUP(D135,[1]apoio_Preços_MGS!$A$6:$AN$238,40,FALSE),0)</f>
        <v>548.41999999999996</v>
      </c>
      <c r="AQ135" s="44">
        <v>0</v>
      </c>
      <c r="AR135" s="45">
        <f t="shared" ref="AR135:AR141" si="65">AO135*K135</f>
        <v>53745.159999999996</v>
      </c>
      <c r="AS135" s="45">
        <f t="shared" si="60"/>
        <v>73345.16</v>
      </c>
      <c r="AT135" s="45">
        <f t="shared" si="63"/>
        <v>4400709.6000000006</v>
      </c>
      <c r="AU135" s="62"/>
      <c r="AV135" s="46"/>
      <c r="AW135" s="47"/>
      <c r="AX135" s="48"/>
      <c r="AY135" s="49"/>
      <c r="BA135" s="48"/>
    </row>
    <row r="136" spans="1:53" ht="19.5" customHeight="1" x14ac:dyDescent="0.25">
      <c r="A136" s="33" t="str">
        <f t="shared" si="58"/>
        <v>106062440,03</v>
      </c>
      <c r="B136" s="33" t="str">
        <f t="shared" si="59"/>
        <v>2790,03</v>
      </c>
      <c r="C136" s="34" t="str">
        <f>VLOOKUP(D136,[1]apoio_Preços_MGS!$A$6:$B$238,2,FALSE)</f>
        <v>AUXILIAR DE LIMPEZA</v>
      </c>
      <c r="D136" s="35">
        <v>279</v>
      </c>
      <c r="E136" s="33" t="str">
        <f>VLOOKUP(D136,[1]apoio_Preços_MGS!$A$6:$F$238,6,FALSE)</f>
        <v>AUXILIAR DE LIMPEZA - 12x36 DIURNO - 44H</v>
      </c>
      <c r="F136" s="36">
        <f>IFERROR(VLOOKUP(D136,'[1]apoio_cód catmas'!$B$2:$C$863,2,FALSE),0)</f>
        <v>106062</v>
      </c>
      <c r="G136" s="33" t="str">
        <f>IF(H136="N/A",VLOOKUP(F136&amp;40,'[1]apoio_cód catmas'!$A$1:$G$233,4,FALSE),VLOOKUP(F136&amp;H136,'[1]apoio_cód catmas'!$A$1:$G$233,4,FALSE))</f>
        <v>AUXILIAR DE LIMPEZA - 12X36 DIURNO - 44H</v>
      </c>
      <c r="H136" s="36">
        <v>44</v>
      </c>
      <c r="I136" s="37">
        <v>0.03</v>
      </c>
      <c r="J136" s="38" t="s">
        <v>46</v>
      </c>
      <c r="K136" s="39">
        <f>131-18+5</f>
        <v>118</v>
      </c>
      <c r="L136" s="39">
        <f t="shared" si="42"/>
        <v>7080</v>
      </c>
      <c r="M136" s="40">
        <f>VLOOKUP(D136,[1]apoio_Preços_MGS!$A$6:$AN$238,18,FALSE)</f>
        <v>1794.7362817701783</v>
      </c>
      <c r="N136" s="40">
        <f>VLOOKUP(D136,[1]apoio_Preços_MGS!$A$6:$AN$238,19,FALSE)</f>
        <v>0</v>
      </c>
      <c r="O136" s="40">
        <f>VLOOKUP(D136,[1]apoio_Preços_MGS!$A$6:$AN$238,20,FALSE)</f>
        <v>0</v>
      </c>
      <c r="P136" s="40">
        <f>VLOOKUP(D136,[1]apoio_Preços_MGS!$A$6:$AN$238,21,FALSE)</f>
        <v>0</v>
      </c>
      <c r="Q136" s="40">
        <f>VLOOKUP(D136,[1]apoio_Preços_MGS!$A$6:$AN$238,22,FALSE)</f>
        <v>0</v>
      </c>
      <c r="R136" s="40">
        <f>VLOOKUP(D136,[1]apoio_Preços_MGS!$A$6:$AN$238,23,FALSE)</f>
        <v>0</v>
      </c>
      <c r="S136" s="40">
        <f>VLOOKUP(D136,[1]apoio_Preços_MGS!$A$6:$AN$238,24,FALSE)</f>
        <v>0</v>
      </c>
      <c r="T136" s="40">
        <f>VLOOKUP(D136,[1]apoio_Preços_MGS!$A$6:$AN$238,25,FALSE)</f>
        <v>2.4926892802363585</v>
      </c>
      <c r="U136" s="40">
        <f t="shared" si="43"/>
        <v>1797.2289710504147</v>
      </c>
      <c r="V136" s="41">
        <v>0.81799999999999995</v>
      </c>
      <c r="W136" s="40">
        <f t="shared" si="44"/>
        <v>1470.1332983192392</v>
      </c>
      <c r="X136" s="40">
        <f>VLOOKUP(D136,[1]apoio_Preços_MGS!$A$6:$AN$238,29,FALSE)</f>
        <v>26.905000000000001</v>
      </c>
      <c r="Y136" s="40">
        <f>VLOOKUP(D136,[1]apoio_Preços_MGS!$A$6:$AN$238,30,FALSE)</f>
        <v>43.982906556598273</v>
      </c>
      <c r="Z136" s="40">
        <f t="shared" si="45"/>
        <v>70.887906556598267</v>
      </c>
      <c r="AA136" s="40">
        <f>VLOOKUP(D136,[1]apoio_Preços_MGS!$A$6:$AN$238,32,FALSE)</f>
        <v>3.4458936609987418</v>
      </c>
      <c r="AB136" s="40">
        <f>VLOOKUP(D136,[1]apoio_Preços_MGS!$A$6:$AN$238,33,FALSE)</f>
        <v>208.70493990461293</v>
      </c>
      <c r="AC136" s="41">
        <f>VLOOKUP(D136,[1]apoio_Preços_MGS!$A$6:$AN$238,34,FALSE)</f>
        <v>3.4323193950865784E-2</v>
      </c>
      <c r="AD136" s="40">
        <f>(U136+W136+Z136+AB136+AA136+VLOOKUP(C136,[1]apoio_Prec_Folha!$A:$S,7,FALSE))*AC136</f>
        <v>140.6846541255745</v>
      </c>
      <c r="AE136" s="42">
        <f>VLOOKUP(D136,[1]apoio_Preços_MGS!$A$6:$AN$238,36,FALSE)</f>
        <v>7.0000000000000007E-2</v>
      </c>
      <c r="AF136" s="40">
        <f>(U136+W136+Z136+AB136+AD136+AA136+VLOOKUP(C136,[1]apoio_Prec_Folha!$A:$S,7,FALSE))*AE136</f>
        <v>296.7654487584673</v>
      </c>
      <c r="AG136" s="40">
        <f t="shared" si="46"/>
        <v>3987.85</v>
      </c>
      <c r="AH136" s="43">
        <f t="shared" si="47"/>
        <v>4544.55</v>
      </c>
      <c r="AI136" s="43">
        <f t="shared" si="48"/>
        <v>536256.9</v>
      </c>
      <c r="AJ136" s="43">
        <f t="shared" si="49"/>
        <v>32175414</v>
      </c>
      <c r="AK136" s="44">
        <f>VLOOKUP(D136,[1]apoio_Preços_MGS!$A$6:$AN$238,39,FALSE)</f>
        <v>200.00000000000003</v>
      </c>
      <c r="AL136" s="44">
        <f>IF(J136="demais municípios",VLOOKUP(D136,[1]apoio_Preços_MGS!$A$6:$AN$238,39,FALSE),0)</f>
        <v>200.00000000000003</v>
      </c>
      <c r="AM136" s="44">
        <v>0</v>
      </c>
      <c r="AN136" s="45">
        <f t="shared" si="64"/>
        <v>23600.000000000004</v>
      </c>
      <c r="AO136" s="44">
        <f>VLOOKUP(D136,[1]apoio_Preços_MGS!$A$6:$AN$238,40,FALSE)</f>
        <v>548.41999999999996</v>
      </c>
      <c r="AP136" s="44">
        <f>IF(J136="demais municípios",VLOOKUP(D136,[1]apoio_Preços_MGS!$A$6:$AN$238,40,FALSE),0)</f>
        <v>548.41999999999996</v>
      </c>
      <c r="AQ136" s="44">
        <v>0</v>
      </c>
      <c r="AR136" s="45">
        <f t="shared" si="65"/>
        <v>64713.56</v>
      </c>
      <c r="AS136" s="45">
        <f t="shared" si="60"/>
        <v>88313.56</v>
      </c>
      <c r="AT136" s="45">
        <f t="shared" si="63"/>
        <v>5298813.5999999996</v>
      </c>
      <c r="AU136" s="62"/>
      <c r="AV136" s="46"/>
      <c r="AW136" s="47"/>
      <c r="AX136" s="48"/>
      <c r="AY136" s="49"/>
      <c r="BA136" s="48"/>
    </row>
    <row r="137" spans="1:53" ht="19.5" customHeight="1" x14ac:dyDescent="0.25">
      <c r="A137" s="33" t="str">
        <f t="shared" si="58"/>
        <v>106062440,035</v>
      </c>
      <c r="B137" s="33" t="str">
        <f t="shared" si="59"/>
        <v>2790,035</v>
      </c>
      <c r="C137" s="34" t="str">
        <f>VLOOKUP(D137,[1]apoio_Preços_MGS!$A$6:$B$238,2,FALSE)</f>
        <v>AUXILIAR DE LIMPEZA</v>
      </c>
      <c r="D137" s="35">
        <v>279</v>
      </c>
      <c r="E137" s="33" t="str">
        <f>VLOOKUP(D137,[1]apoio_Preços_MGS!$A$6:$F$238,6,FALSE)</f>
        <v>AUXILIAR DE LIMPEZA - 12x36 DIURNO - 44H</v>
      </c>
      <c r="F137" s="36">
        <f>IFERROR(VLOOKUP(D137,'[1]apoio_cód catmas'!$B$2:$C$863,2,FALSE),0)</f>
        <v>106062</v>
      </c>
      <c r="G137" s="33" t="str">
        <f>IF(H137="N/A",VLOOKUP(F137&amp;40,'[1]apoio_cód catmas'!$A$1:$G$233,4,FALSE),VLOOKUP(F137&amp;H137,'[1]apoio_cód catmas'!$A$1:$G$233,4,FALSE))</f>
        <v>AUXILIAR DE LIMPEZA - 12X36 DIURNO - 44H</v>
      </c>
      <c r="H137" s="36">
        <v>44</v>
      </c>
      <c r="I137" s="37">
        <v>3.5000000000000003E-2</v>
      </c>
      <c r="J137" s="38" t="s">
        <v>46</v>
      </c>
      <c r="K137" s="39">
        <v>116</v>
      </c>
      <c r="L137" s="39">
        <f t="shared" si="42"/>
        <v>6960</v>
      </c>
      <c r="M137" s="40">
        <f>VLOOKUP(D137,[1]apoio_Preços_MGS!$A$6:$AN$238,18,FALSE)</f>
        <v>1794.7362817701783</v>
      </c>
      <c r="N137" s="40">
        <f>VLOOKUP(D137,[1]apoio_Preços_MGS!$A$6:$AN$238,19,FALSE)</f>
        <v>0</v>
      </c>
      <c r="O137" s="40">
        <f>VLOOKUP(D137,[1]apoio_Preços_MGS!$A$6:$AN$238,20,FALSE)</f>
        <v>0</v>
      </c>
      <c r="P137" s="40">
        <f>VLOOKUP(D137,[1]apoio_Preços_MGS!$A$6:$AN$238,21,FALSE)</f>
        <v>0</v>
      </c>
      <c r="Q137" s="40">
        <f>VLOOKUP(D137,[1]apoio_Preços_MGS!$A$6:$AN$238,22,FALSE)</f>
        <v>0</v>
      </c>
      <c r="R137" s="40">
        <f>VLOOKUP(D137,[1]apoio_Preços_MGS!$A$6:$AN$238,23,FALSE)</f>
        <v>0</v>
      </c>
      <c r="S137" s="40">
        <f>VLOOKUP(D137,[1]apoio_Preços_MGS!$A$6:$AN$238,24,FALSE)</f>
        <v>0</v>
      </c>
      <c r="T137" s="40">
        <f>VLOOKUP(D137,[1]apoio_Preços_MGS!$A$6:$AN$238,25,FALSE)</f>
        <v>2.4926892802363585</v>
      </c>
      <c r="U137" s="40">
        <f t="shared" si="43"/>
        <v>1797.2289710504147</v>
      </c>
      <c r="V137" s="41">
        <v>0.81799999999999995</v>
      </c>
      <c r="W137" s="40">
        <f t="shared" si="44"/>
        <v>1470.1332983192392</v>
      </c>
      <c r="X137" s="40">
        <f>VLOOKUP(D137,[1]apoio_Preços_MGS!$A$6:$AN$238,29,FALSE)</f>
        <v>26.905000000000001</v>
      </c>
      <c r="Y137" s="40">
        <f>VLOOKUP(D137,[1]apoio_Preços_MGS!$A$6:$AN$238,30,FALSE)</f>
        <v>43.982906556598273</v>
      </c>
      <c r="Z137" s="40">
        <f t="shared" si="45"/>
        <v>70.887906556598267</v>
      </c>
      <c r="AA137" s="40">
        <f>VLOOKUP(D137,[1]apoio_Preços_MGS!$A$6:$AN$238,32,FALSE)</f>
        <v>3.4458936609987418</v>
      </c>
      <c r="AB137" s="40">
        <f>VLOOKUP(D137,[1]apoio_Preços_MGS!$A$6:$AN$238,33,FALSE)</f>
        <v>208.70493990461293</v>
      </c>
      <c r="AC137" s="41">
        <f>VLOOKUP(D137,[1]apoio_Preços_MGS!$A$6:$AN$238,34,FALSE)</f>
        <v>3.4323193950865784E-2</v>
      </c>
      <c r="AD137" s="40">
        <f>(U137+W137+Z137+AB137+AA137+VLOOKUP(C137,[1]apoio_Prec_Folha!$A:$S,7,FALSE))*AC137</f>
        <v>140.6846541255745</v>
      </c>
      <c r="AE137" s="42">
        <f>VLOOKUP(D137,[1]apoio_Preços_MGS!$A$6:$AN$238,36,FALSE)</f>
        <v>7.0000000000000007E-2</v>
      </c>
      <c r="AF137" s="40">
        <f>(U137+W137+Z137+AB137+AD137+AA137+VLOOKUP(C137,[1]apoio_Prec_Folha!$A:$S,7,FALSE))*AE137</f>
        <v>296.7654487584673</v>
      </c>
      <c r="AG137" s="40">
        <f t="shared" si="46"/>
        <v>3987.85</v>
      </c>
      <c r="AH137" s="43">
        <f t="shared" si="47"/>
        <v>4570.59</v>
      </c>
      <c r="AI137" s="43">
        <f t="shared" si="48"/>
        <v>530188.44000000006</v>
      </c>
      <c r="AJ137" s="43">
        <f t="shared" si="49"/>
        <v>31811306.400000002</v>
      </c>
      <c r="AK137" s="44">
        <f>VLOOKUP(D137,[1]apoio_Preços_MGS!$A$6:$AN$238,39,FALSE)</f>
        <v>200.00000000000003</v>
      </c>
      <c r="AL137" s="44">
        <f>IF(J137="demais municípios",VLOOKUP(D137,[1]apoio_Preços_MGS!$A$6:$AN$238,39,FALSE),0)</f>
        <v>200.00000000000003</v>
      </c>
      <c r="AM137" s="44">
        <v>0</v>
      </c>
      <c r="AN137" s="45">
        <f t="shared" si="64"/>
        <v>23200.000000000004</v>
      </c>
      <c r="AO137" s="44">
        <f>VLOOKUP(D137,[1]apoio_Preços_MGS!$A$6:$AN$238,40,FALSE)</f>
        <v>548.41999999999996</v>
      </c>
      <c r="AP137" s="44">
        <f>IF(J137="demais municípios",VLOOKUP(D137,[1]apoio_Preços_MGS!$A$6:$AN$238,40,FALSE),0)</f>
        <v>548.41999999999996</v>
      </c>
      <c r="AQ137" s="44">
        <v>0</v>
      </c>
      <c r="AR137" s="45">
        <f t="shared" si="65"/>
        <v>63616.719999999994</v>
      </c>
      <c r="AS137" s="45">
        <f t="shared" si="60"/>
        <v>86816.72</v>
      </c>
      <c r="AT137" s="45">
        <f t="shared" si="63"/>
        <v>5209003.2</v>
      </c>
      <c r="AU137" s="62"/>
      <c r="AV137" s="46"/>
      <c r="AW137" s="47"/>
      <c r="AX137" s="48"/>
      <c r="AY137" s="49"/>
      <c r="BA137" s="48"/>
    </row>
    <row r="138" spans="1:53" ht="19.5" customHeight="1" x14ac:dyDescent="0.25">
      <c r="A138" s="33" t="str">
        <f t="shared" si="58"/>
        <v>106062440,038</v>
      </c>
      <c r="B138" s="33" t="str">
        <f t="shared" si="59"/>
        <v>2790,038</v>
      </c>
      <c r="C138" s="34" t="str">
        <f>VLOOKUP(D138,[1]apoio_Preços_MGS!$A$6:$B$238,2,FALSE)</f>
        <v>AUXILIAR DE LIMPEZA</v>
      </c>
      <c r="D138" s="35">
        <v>279</v>
      </c>
      <c r="E138" s="33" t="str">
        <f>VLOOKUP(D138,[1]apoio_Preços_MGS!$A$6:$F$238,6,FALSE)</f>
        <v>AUXILIAR DE LIMPEZA - 12x36 DIURNO - 44H</v>
      </c>
      <c r="F138" s="36">
        <f>IFERROR(VLOOKUP(D138,'[1]apoio_cód catmas'!$B$2:$C$863,2,FALSE),0)</f>
        <v>106062</v>
      </c>
      <c r="G138" s="33" t="str">
        <f>IF(H138="N/A",VLOOKUP(F138&amp;40,'[1]apoio_cód catmas'!$A$1:$G$233,4,FALSE),VLOOKUP(F138&amp;H138,'[1]apoio_cód catmas'!$A$1:$G$233,4,FALSE))</f>
        <v>AUXILIAR DE LIMPEZA - 12X36 DIURNO - 44H</v>
      </c>
      <c r="H138" s="36">
        <v>44</v>
      </c>
      <c r="I138" s="37">
        <v>3.7999999999999999E-2</v>
      </c>
      <c r="J138" s="38" t="s">
        <v>46</v>
      </c>
      <c r="K138" s="39">
        <v>38</v>
      </c>
      <c r="L138" s="39">
        <f t="shared" si="42"/>
        <v>2280</v>
      </c>
      <c r="M138" s="40">
        <f>VLOOKUP(D138,[1]apoio_Preços_MGS!$A$6:$AN$238,18,FALSE)</f>
        <v>1794.7362817701783</v>
      </c>
      <c r="N138" s="40">
        <f>VLOOKUP(D138,[1]apoio_Preços_MGS!$A$6:$AN$238,19,FALSE)</f>
        <v>0</v>
      </c>
      <c r="O138" s="40">
        <f>VLOOKUP(D138,[1]apoio_Preços_MGS!$A$6:$AN$238,20,FALSE)</f>
        <v>0</v>
      </c>
      <c r="P138" s="40">
        <f>VLOOKUP(D138,[1]apoio_Preços_MGS!$A$6:$AN$238,21,FALSE)</f>
        <v>0</v>
      </c>
      <c r="Q138" s="40">
        <f>VLOOKUP(D138,[1]apoio_Preços_MGS!$A$6:$AN$238,22,FALSE)</f>
        <v>0</v>
      </c>
      <c r="R138" s="40">
        <f>VLOOKUP(D138,[1]apoio_Preços_MGS!$A$6:$AN$238,23,FALSE)</f>
        <v>0</v>
      </c>
      <c r="S138" s="40">
        <f>VLOOKUP(D138,[1]apoio_Preços_MGS!$A$6:$AN$238,24,FALSE)</f>
        <v>0</v>
      </c>
      <c r="T138" s="40">
        <f>VLOOKUP(D138,[1]apoio_Preços_MGS!$A$6:$AN$238,25,FALSE)</f>
        <v>2.4926892802363585</v>
      </c>
      <c r="U138" s="40">
        <f t="shared" si="43"/>
        <v>1797.2289710504147</v>
      </c>
      <c r="V138" s="41">
        <v>0.81799999999999995</v>
      </c>
      <c r="W138" s="40">
        <f t="shared" si="44"/>
        <v>1470.1332983192392</v>
      </c>
      <c r="X138" s="40">
        <f>VLOOKUP(D138,[1]apoio_Preços_MGS!$A$6:$AN$238,29,FALSE)</f>
        <v>26.905000000000001</v>
      </c>
      <c r="Y138" s="40">
        <f>VLOOKUP(D138,[1]apoio_Preços_MGS!$A$6:$AN$238,30,FALSE)</f>
        <v>43.982906556598273</v>
      </c>
      <c r="Z138" s="40">
        <f t="shared" si="45"/>
        <v>70.887906556598267</v>
      </c>
      <c r="AA138" s="40">
        <f>VLOOKUP(D138,[1]apoio_Preços_MGS!$A$6:$AN$238,32,FALSE)</f>
        <v>3.4458936609987418</v>
      </c>
      <c r="AB138" s="40">
        <f>VLOOKUP(D138,[1]apoio_Preços_MGS!$A$6:$AN$238,33,FALSE)</f>
        <v>208.70493990461293</v>
      </c>
      <c r="AC138" s="41">
        <f>VLOOKUP(D138,[1]apoio_Preços_MGS!$A$6:$AN$238,34,FALSE)</f>
        <v>3.4323193950865784E-2</v>
      </c>
      <c r="AD138" s="40">
        <f>(U138+W138+Z138+AB138+AA138+VLOOKUP(C138,[1]apoio_Prec_Folha!$A:$S,7,FALSE))*AC138</f>
        <v>140.6846541255745</v>
      </c>
      <c r="AE138" s="42">
        <f>VLOOKUP(D138,[1]apoio_Preços_MGS!$A$6:$AN$238,36,FALSE)</f>
        <v>7.0000000000000007E-2</v>
      </c>
      <c r="AF138" s="40">
        <f>(U138+W138+Z138+AB138+AD138+AA138+VLOOKUP(C138,[1]apoio_Prec_Folha!$A:$S,7,FALSE))*AE138</f>
        <v>296.7654487584673</v>
      </c>
      <c r="AG138" s="40">
        <f t="shared" si="46"/>
        <v>3987.85</v>
      </c>
      <c r="AH138" s="43">
        <f t="shared" si="47"/>
        <v>4586.38</v>
      </c>
      <c r="AI138" s="43">
        <f t="shared" si="48"/>
        <v>174282.44</v>
      </c>
      <c r="AJ138" s="43">
        <f t="shared" si="49"/>
        <v>10456946.4</v>
      </c>
      <c r="AK138" s="44">
        <f>VLOOKUP(D138,[1]apoio_Preços_MGS!$A$6:$AN$238,39,FALSE)</f>
        <v>200.00000000000003</v>
      </c>
      <c r="AL138" s="44">
        <f>IF(J138="demais municípios",VLOOKUP(D138,[1]apoio_Preços_MGS!$A$6:$AN$238,39,FALSE),0)</f>
        <v>200.00000000000003</v>
      </c>
      <c r="AM138" s="44">
        <v>0</v>
      </c>
      <c r="AN138" s="45">
        <f t="shared" si="64"/>
        <v>7600.0000000000009</v>
      </c>
      <c r="AO138" s="44">
        <f>VLOOKUP(D138,[1]apoio_Preços_MGS!$A$6:$AN$238,40,FALSE)</f>
        <v>548.41999999999996</v>
      </c>
      <c r="AP138" s="44">
        <f>IF(J138="demais municípios",VLOOKUP(D138,[1]apoio_Preços_MGS!$A$6:$AN$238,40,FALSE),0)</f>
        <v>548.41999999999996</v>
      </c>
      <c r="AQ138" s="44">
        <v>0</v>
      </c>
      <c r="AR138" s="45">
        <f t="shared" si="65"/>
        <v>20839.96</v>
      </c>
      <c r="AS138" s="45">
        <f t="shared" si="60"/>
        <v>28439.96</v>
      </c>
      <c r="AT138" s="45">
        <f t="shared" si="63"/>
        <v>1706397.5999999999</v>
      </c>
      <c r="AU138" s="62"/>
      <c r="AV138" s="46"/>
      <c r="AW138" s="47"/>
      <c r="AX138" s="48"/>
      <c r="AY138" s="49"/>
      <c r="BA138" s="48"/>
    </row>
    <row r="139" spans="1:53" ht="19.5" customHeight="1" x14ac:dyDescent="0.25">
      <c r="A139" s="33" t="str">
        <f t="shared" si="58"/>
        <v>106062440,04</v>
      </c>
      <c r="B139" s="33" t="str">
        <f t="shared" si="59"/>
        <v>2790,04</v>
      </c>
      <c r="C139" s="34" t="str">
        <f>VLOOKUP(D139,[1]apoio_Preços_MGS!$A$6:$B$238,2,FALSE)</f>
        <v>AUXILIAR DE LIMPEZA</v>
      </c>
      <c r="D139" s="35">
        <v>279</v>
      </c>
      <c r="E139" s="33" t="str">
        <f>VLOOKUP(D139,[1]apoio_Preços_MGS!$A$6:$F$238,6,FALSE)</f>
        <v>AUXILIAR DE LIMPEZA - 12x36 DIURNO - 44H</v>
      </c>
      <c r="F139" s="36">
        <f>IFERROR(VLOOKUP(D139,'[1]apoio_cód catmas'!$B$2:$C$863,2,FALSE),0)</f>
        <v>106062</v>
      </c>
      <c r="G139" s="33" t="str">
        <f>IF(H139="N/A",VLOOKUP(F139&amp;40,'[1]apoio_cód catmas'!$A$1:$G$233,4,FALSE),VLOOKUP(F139&amp;H139,'[1]apoio_cód catmas'!$A$1:$G$233,4,FALSE))</f>
        <v>AUXILIAR DE LIMPEZA - 12X36 DIURNO - 44H</v>
      </c>
      <c r="H139" s="36">
        <v>44</v>
      </c>
      <c r="I139" s="37">
        <v>0.04</v>
      </c>
      <c r="J139" s="38" t="s">
        <v>46</v>
      </c>
      <c r="K139" s="39">
        <v>2</v>
      </c>
      <c r="L139" s="39">
        <f t="shared" si="42"/>
        <v>120</v>
      </c>
      <c r="M139" s="40">
        <f>VLOOKUP(D139,[1]apoio_Preços_MGS!$A$6:$AN$238,18,FALSE)</f>
        <v>1794.7362817701783</v>
      </c>
      <c r="N139" s="40">
        <f>VLOOKUP(D139,[1]apoio_Preços_MGS!$A$6:$AN$238,19,FALSE)</f>
        <v>0</v>
      </c>
      <c r="O139" s="40">
        <f>VLOOKUP(D139,[1]apoio_Preços_MGS!$A$6:$AN$238,20,FALSE)</f>
        <v>0</v>
      </c>
      <c r="P139" s="40">
        <f>VLOOKUP(D139,[1]apoio_Preços_MGS!$A$6:$AN$238,21,FALSE)</f>
        <v>0</v>
      </c>
      <c r="Q139" s="40">
        <f>VLOOKUP(D139,[1]apoio_Preços_MGS!$A$6:$AN$238,22,FALSE)</f>
        <v>0</v>
      </c>
      <c r="R139" s="40">
        <f>VLOOKUP(D139,[1]apoio_Preços_MGS!$A$6:$AN$238,23,FALSE)</f>
        <v>0</v>
      </c>
      <c r="S139" s="40">
        <f>VLOOKUP(D139,[1]apoio_Preços_MGS!$A$6:$AN$238,24,FALSE)</f>
        <v>0</v>
      </c>
      <c r="T139" s="40">
        <f>VLOOKUP(D139,[1]apoio_Preços_MGS!$A$6:$AN$238,25,FALSE)</f>
        <v>2.4926892802363585</v>
      </c>
      <c r="U139" s="40">
        <f t="shared" si="43"/>
        <v>1797.2289710504147</v>
      </c>
      <c r="V139" s="41">
        <v>0.81799999999999995</v>
      </c>
      <c r="W139" s="40">
        <f t="shared" si="44"/>
        <v>1470.1332983192392</v>
      </c>
      <c r="X139" s="40">
        <f>VLOOKUP(D139,[1]apoio_Preços_MGS!$A$6:$AN$238,29,FALSE)</f>
        <v>26.905000000000001</v>
      </c>
      <c r="Y139" s="40">
        <f>VLOOKUP(D139,[1]apoio_Preços_MGS!$A$6:$AN$238,30,FALSE)</f>
        <v>43.982906556598273</v>
      </c>
      <c r="Z139" s="40">
        <f t="shared" si="45"/>
        <v>70.887906556598267</v>
      </c>
      <c r="AA139" s="40">
        <f>VLOOKUP(D139,[1]apoio_Preços_MGS!$A$6:$AN$238,32,FALSE)</f>
        <v>3.4458936609987418</v>
      </c>
      <c r="AB139" s="40">
        <f>VLOOKUP(D139,[1]apoio_Preços_MGS!$A$6:$AN$238,33,FALSE)</f>
        <v>208.70493990461293</v>
      </c>
      <c r="AC139" s="41">
        <f>VLOOKUP(D139,[1]apoio_Preços_MGS!$A$6:$AN$238,34,FALSE)</f>
        <v>3.4323193950865784E-2</v>
      </c>
      <c r="AD139" s="40">
        <f>(U139+W139+Z139+AB139+AA139+VLOOKUP(C139,[1]apoio_Prec_Folha!$A:$S,7,FALSE))*AC139</f>
        <v>140.6846541255745</v>
      </c>
      <c r="AE139" s="42">
        <f>VLOOKUP(D139,[1]apoio_Preços_MGS!$A$6:$AN$238,36,FALSE)</f>
        <v>7.0000000000000007E-2</v>
      </c>
      <c r="AF139" s="40">
        <f>(U139+W139+Z139+AB139+AD139+AA139+VLOOKUP(C139,[1]apoio_Prec_Folha!$A:$S,7,FALSE))*AE139</f>
        <v>296.7654487584673</v>
      </c>
      <c r="AG139" s="40">
        <f t="shared" si="46"/>
        <v>3987.85</v>
      </c>
      <c r="AH139" s="43">
        <f t="shared" si="47"/>
        <v>4596.95</v>
      </c>
      <c r="AI139" s="43">
        <f t="shared" si="48"/>
        <v>9193.9</v>
      </c>
      <c r="AJ139" s="43">
        <f t="shared" si="49"/>
        <v>551634</v>
      </c>
      <c r="AK139" s="44">
        <f>VLOOKUP(D139,[1]apoio_Preços_MGS!$A$6:$AN$238,39,FALSE)</f>
        <v>200.00000000000003</v>
      </c>
      <c r="AL139" s="44">
        <f>IF(J139="demais municípios",VLOOKUP(D139,[1]apoio_Preços_MGS!$A$6:$AN$238,39,FALSE),0)</f>
        <v>200.00000000000003</v>
      </c>
      <c r="AM139" s="44">
        <v>0</v>
      </c>
      <c r="AN139" s="45">
        <f t="shared" si="64"/>
        <v>400.00000000000006</v>
      </c>
      <c r="AO139" s="44">
        <f>VLOOKUP(D139,[1]apoio_Preços_MGS!$A$6:$AN$238,40,FALSE)</f>
        <v>548.41999999999996</v>
      </c>
      <c r="AP139" s="44">
        <f>IF(J139="demais municípios",VLOOKUP(D139,[1]apoio_Preços_MGS!$A$6:$AN$238,40,FALSE),0)</f>
        <v>548.41999999999996</v>
      </c>
      <c r="AQ139" s="44">
        <v>0</v>
      </c>
      <c r="AR139" s="45">
        <f t="shared" si="65"/>
        <v>1096.8399999999999</v>
      </c>
      <c r="AS139" s="45">
        <f t="shared" si="60"/>
        <v>1496.84</v>
      </c>
      <c r="AT139" s="45">
        <f t="shared" si="63"/>
        <v>89810.4</v>
      </c>
      <c r="AU139" s="62"/>
      <c r="AV139" s="46"/>
      <c r="AW139" s="47"/>
      <c r="AX139" s="48"/>
      <c r="AY139" s="49"/>
      <c r="BA139" s="48"/>
    </row>
    <row r="140" spans="1:53" ht="19.5" customHeight="1" x14ac:dyDescent="0.25">
      <c r="A140" s="33" t="str">
        <f t="shared" si="58"/>
        <v>106062440,05</v>
      </c>
      <c r="B140" s="33" t="str">
        <f t="shared" si="59"/>
        <v>2790,05</v>
      </c>
      <c r="C140" s="34" t="str">
        <f>VLOOKUP(D140,[1]apoio_Preços_MGS!$A$6:$B$238,2,FALSE)</f>
        <v>AUXILIAR DE LIMPEZA</v>
      </c>
      <c r="D140" s="35">
        <v>279</v>
      </c>
      <c r="E140" s="33" t="str">
        <f>VLOOKUP(D140,[1]apoio_Preços_MGS!$A$6:$F$238,6,FALSE)</f>
        <v>AUXILIAR DE LIMPEZA - 12x36 DIURNO - 44H</v>
      </c>
      <c r="F140" s="36">
        <f>IFERROR(VLOOKUP(D140,'[1]apoio_cód catmas'!$B$2:$C$863,2,FALSE),0)</f>
        <v>106062</v>
      </c>
      <c r="G140" s="33" t="str">
        <f>IF(H140="N/A",VLOOKUP(F140&amp;40,'[1]apoio_cód catmas'!$A$1:$G$233,4,FALSE),VLOOKUP(F140&amp;H140,'[1]apoio_cód catmas'!$A$1:$G$233,4,FALSE))</f>
        <v>AUXILIAR DE LIMPEZA - 12X36 DIURNO - 44H</v>
      </c>
      <c r="H140" s="36">
        <v>44</v>
      </c>
      <c r="I140" s="37">
        <v>0.05</v>
      </c>
      <c r="J140" s="38" t="s">
        <v>46</v>
      </c>
      <c r="K140" s="39">
        <v>13</v>
      </c>
      <c r="L140" s="39">
        <f t="shared" si="42"/>
        <v>780</v>
      </c>
      <c r="M140" s="40">
        <f>VLOOKUP(D140,[1]apoio_Preços_MGS!$A$6:$AN$238,18,FALSE)</f>
        <v>1794.7362817701783</v>
      </c>
      <c r="N140" s="40">
        <f>VLOOKUP(D140,[1]apoio_Preços_MGS!$A$6:$AN$238,19,FALSE)</f>
        <v>0</v>
      </c>
      <c r="O140" s="40">
        <f>VLOOKUP(D140,[1]apoio_Preços_MGS!$A$6:$AN$238,20,FALSE)</f>
        <v>0</v>
      </c>
      <c r="P140" s="40">
        <f>VLOOKUP(D140,[1]apoio_Preços_MGS!$A$6:$AN$238,21,FALSE)</f>
        <v>0</v>
      </c>
      <c r="Q140" s="40">
        <f>VLOOKUP(D140,[1]apoio_Preços_MGS!$A$6:$AN$238,22,FALSE)</f>
        <v>0</v>
      </c>
      <c r="R140" s="40">
        <f>VLOOKUP(D140,[1]apoio_Preços_MGS!$A$6:$AN$238,23,FALSE)</f>
        <v>0</v>
      </c>
      <c r="S140" s="40">
        <f>VLOOKUP(D140,[1]apoio_Preços_MGS!$A$6:$AN$238,24,FALSE)</f>
        <v>0</v>
      </c>
      <c r="T140" s="40">
        <f>VLOOKUP(D140,[1]apoio_Preços_MGS!$A$6:$AN$238,25,FALSE)</f>
        <v>2.4926892802363585</v>
      </c>
      <c r="U140" s="40">
        <f t="shared" si="43"/>
        <v>1797.2289710504147</v>
      </c>
      <c r="V140" s="41">
        <v>0.81799999999999995</v>
      </c>
      <c r="W140" s="40">
        <f t="shared" si="44"/>
        <v>1470.1332983192392</v>
      </c>
      <c r="X140" s="40">
        <f>VLOOKUP(D140,[1]apoio_Preços_MGS!$A$6:$AN$238,29,FALSE)</f>
        <v>26.905000000000001</v>
      </c>
      <c r="Y140" s="40">
        <f>VLOOKUP(D140,[1]apoio_Preços_MGS!$A$6:$AN$238,30,FALSE)</f>
        <v>43.982906556598273</v>
      </c>
      <c r="Z140" s="40">
        <f t="shared" si="45"/>
        <v>70.887906556598267</v>
      </c>
      <c r="AA140" s="40">
        <f>VLOOKUP(D140,[1]apoio_Preços_MGS!$A$6:$AN$238,32,FALSE)</f>
        <v>3.4458936609987418</v>
      </c>
      <c r="AB140" s="40">
        <f>VLOOKUP(D140,[1]apoio_Preços_MGS!$A$6:$AN$238,33,FALSE)</f>
        <v>208.70493990461293</v>
      </c>
      <c r="AC140" s="41">
        <f>VLOOKUP(D140,[1]apoio_Preços_MGS!$A$6:$AN$238,34,FALSE)</f>
        <v>3.4323193950865784E-2</v>
      </c>
      <c r="AD140" s="40">
        <f>(U140+W140+Z140+AB140+AA140+VLOOKUP(C140,[1]apoio_Prec_Folha!$A:$S,7,FALSE))*AC140</f>
        <v>140.6846541255745</v>
      </c>
      <c r="AE140" s="42">
        <f>VLOOKUP(D140,[1]apoio_Preços_MGS!$A$6:$AN$238,36,FALSE)</f>
        <v>7.0000000000000007E-2</v>
      </c>
      <c r="AF140" s="40">
        <f>(U140+W140+Z140+AB140+AD140+AA140+VLOOKUP(C140,[1]apoio_Prec_Folha!$A:$S,7,FALSE))*AE140</f>
        <v>296.7654487584673</v>
      </c>
      <c r="AG140" s="40">
        <f t="shared" si="46"/>
        <v>3987.85</v>
      </c>
      <c r="AH140" s="43">
        <f t="shared" si="47"/>
        <v>4650.55</v>
      </c>
      <c r="AI140" s="43">
        <f t="shared" si="48"/>
        <v>60457.15</v>
      </c>
      <c r="AJ140" s="43">
        <f t="shared" si="49"/>
        <v>3627429</v>
      </c>
      <c r="AK140" s="44">
        <f>VLOOKUP(D140,[1]apoio_Preços_MGS!$A$6:$AN$238,39,FALSE)</f>
        <v>200.00000000000003</v>
      </c>
      <c r="AL140" s="44">
        <f>IF(J140="demais municípios",VLOOKUP(D140,[1]apoio_Preços_MGS!$A$6:$AN$238,39,FALSE),0)</f>
        <v>200.00000000000003</v>
      </c>
      <c r="AM140" s="44">
        <v>0</v>
      </c>
      <c r="AN140" s="45">
        <f t="shared" si="64"/>
        <v>2600.0000000000005</v>
      </c>
      <c r="AO140" s="44">
        <f>VLOOKUP(D140,[1]apoio_Preços_MGS!$A$6:$AN$238,40,FALSE)</f>
        <v>548.41999999999996</v>
      </c>
      <c r="AP140" s="44">
        <f>IF(J140="demais municípios",VLOOKUP(D140,[1]apoio_Preços_MGS!$A$6:$AN$238,40,FALSE),0)</f>
        <v>548.41999999999996</v>
      </c>
      <c r="AQ140" s="44">
        <v>0</v>
      </c>
      <c r="AR140" s="45">
        <f t="shared" si="65"/>
        <v>7129.4599999999991</v>
      </c>
      <c r="AS140" s="45">
        <f t="shared" si="60"/>
        <v>9729.4599999999991</v>
      </c>
      <c r="AT140" s="45">
        <f t="shared" si="63"/>
        <v>583767.6</v>
      </c>
      <c r="AU140" s="62"/>
      <c r="AV140" s="46"/>
      <c r="AW140" s="47"/>
      <c r="AX140" s="48"/>
      <c r="AY140" s="49"/>
      <c r="BA140" s="48"/>
    </row>
    <row r="141" spans="1:53" ht="19.5" customHeight="1" x14ac:dyDescent="0.25">
      <c r="A141" s="33" t="str">
        <f t="shared" si="58"/>
        <v>106062440,05</v>
      </c>
      <c r="B141" s="33" t="str">
        <f t="shared" si="59"/>
        <v>2790,05</v>
      </c>
      <c r="C141" s="34" t="str">
        <f>VLOOKUP(D141,[1]apoio_Preços_MGS!$A$6:$B$238,2,FALSE)</f>
        <v>AUXILIAR DE LIMPEZA</v>
      </c>
      <c r="D141" s="35">
        <v>279</v>
      </c>
      <c r="E141" s="33" t="str">
        <f>VLOOKUP(D141,[1]apoio_Preços_MGS!$A$6:$F$238,6,FALSE)</f>
        <v>AUXILIAR DE LIMPEZA - 12x36 DIURNO - 44H</v>
      </c>
      <c r="F141" s="36">
        <f>IFERROR(VLOOKUP(D141,'[1]apoio_cód catmas'!$B$2:$C$863,2,FALSE),0)</f>
        <v>106062</v>
      </c>
      <c r="G141" s="33" t="str">
        <f>IF(H141="N/A",VLOOKUP(F141&amp;40,'[1]apoio_cód catmas'!$A$1:$G$233,4,FALSE),VLOOKUP(F141&amp;H141,'[1]apoio_cód catmas'!$A$1:$G$233,4,FALSE))</f>
        <v>AUXILIAR DE LIMPEZA - 12X36 DIURNO - 44H</v>
      </c>
      <c r="H141" s="36">
        <v>44</v>
      </c>
      <c r="I141" s="37">
        <v>0.05</v>
      </c>
      <c r="J141" s="38" t="s">
        <v>46</v>
      </c>
      <c r="K141" s="39">
        <f>894-K142</f>
        <v>42</v>
      </c>
      <c r="L141" s="39">
        <f t="shared" si="42"/>
        <v>2520</v>
      </c>
      <c r="M141" s="40">
        <f>VLOOKUP(D141,[1]apoio_Preços_MGS!$A$6:$AN$238,18,FALSE)</f>
        <v>1794.7362817701783</v>
      </c>
      <c r="N141" s="40">
        <f>VLOOKUP(D141,[1]apoio_Preços_MGS!$A$6:$AN$238,19,FALSE)</f>
        <v>0</v>
      </c>
      <c r="O141" s="40">
        <f>VLOOKUP(D141,[1]apoio_Preços_MGS!$A$6:$AN$238,20,FALSE)</f>
        <v>0</v>
      </c>
      <c r="P141" s="40">
        <f>VLOOKUP(D141,[1]apoio_Preços_MGS!$A$6:$AN$238,21,FALSE)</f>
        <v>0</v>
      </c>
      <c r="Q141" s="40">
        <f>VLOOKUP(D141,[1]apoio_Preços_MGS!$A$6:$AN$238,22,FALSE)</f>
        <v>0</v>
      </c>
      <c r="R141" s="40">
        <f>VLOOKUP(D141,[1]apoio_Preços_MGS!$A$6:$AN$238,23,FALSE)</f>
        <v>0</v>
      </c>
      <c r="S141" s="40">
        <f>VLOOKUP(D141,[1]apoio_Preços_MGS!$A$6:$AN$238,24,FALSE)</f>
        <v>0</v>
      </c>
      <c r="T141" s="40">
        <f>VLOOKUP(D141,[1]apoio_Preços_MGS!$A$6:$AN$238,25,FALSE)</f>
        <v>2.4926892802363585</v>
      </c>
      <c r="U141" s="40">
        <f t="shared" si="43"/>
        <v>1797.2289710504147</v>
      </c>
      <c r="V141" s="41">
        <v>0.81799999999999995</v>
      </c>
      <c r="W141" s="40">
        <f t="shared" si="44"/>
        <v>1470.1332983192392</v>
      </c>
      <c r="X141" s="40">
        <f>VLOOKUP(D141,[1]apoio_Preços_MGS!$A$6:$AN$238,29,FALSE)</f>
        <v>26.905000000000001</v>
      </c>
      <c r="Y141" s="40">
        <f>VLOOKUP(D141,[1]apoio_Preços_MGS!$A$6:$AN$238,30,FALSE)</f>
        <v>43.982906556598273</v>
      </c>
      <c r="Z141" s="40">
        <f t="shared" si="45"/>
        <v>70.887906556598267</v>
      </c>
      <c r="AA141" s="40">
        <f>VLOOKUP(D141,[1]apoio_Preços_MGS!$A$6:$AN$238,32,FALSE)</f>
        <v>3.4458936609987418</v>
      </c>
      <c r="AB141" s="40">
        <f>VLOOKUP(D141,[1]apoio_Preços_MGS!$A$6:$AN$238,33,FALSE)</f>
        <v>208.70493990461293</v>
      </c>
      <c r="AC141" s="41">
        <f>VLOOKUP(D141,[1]apoio_Preços_MGS!$A$6:$AN$238,34,FALSE)</f>
        <v>3.4323193950865784E-2</v>
      </c>
      <c r="AD141" s="40">
        <f>(U141+W141+Z141+AB141+AA141+VLOOKUP(C141,[1]apoio_Prec_Folha!$A:$S,7,FALSE))*AC141</f>
        <v>140.6846541255745</v>
      </c>
      <c r="AE141" s="42">
        <f>VLOOKUP(D141,[1]apoio_Preços_MGS!$A$6:$AN$238,36,FALSE)</f>
        <v>7.0000000000000007E-2</v>
      </c>
      <c r="AF141" s="40">
        <f>(U141+W141+Z141+AB141+AD141+AA141+VLOOKUP(C141,[1]apoio_Prec_Folha!$A:$S,7,FALSE))*AE141</f>
        <v>296.7654487584673</v>
      </c>
      <c r="AG141" s="40">
        <f t="shared" si="46"/>
        <v>3987.85</v>
      </c>
      <c r="AH141" s="43">
        <f t="shared" si="47"/>
        <v>4650.55</v>
      </c>
      <c r="AI141" s="43">
        <f t="shared" si="48"/>
        <v>195323.1</v>
      </c>
      <c r="AJ141" s="43">
        <f t="shared" si="49"/>
        <v>11719386</v>
      </c>
      <c r="AK141" s="44">
        <f>VLOOKUP(D141,[1]apoio_Preços_MGS!$A$6:$AN$238,39,FALSE)</f>
        <v>200.00000000000003</v>
      </c>
      <c r="AL141" s="44">
        <f>IF(J141="demais municípios",VLOOKUP(D141,[1]apoio_Preços_MGS!$A$6:$AN$238,39,FALSE),0)</f>
        <v>200.00000000000003</v>
      </c>
      <c r="AM141" s="44">
        <v>0</v>
      </c>
      <c r="AN141" s="45">
        <f t="shared" si="64"/>
        <v>8400.0000000000018</v>
      </c>
      <c r="AO141" s="44">
        <f>VLOOKUP(D141,[1]apoio_Preços_MGS!$A$6:$AN$238,40,FALSE)</f>
        <v>548.41999999999996</v>
      </c>
      <c r="AP141" s="44">
        <f>IF(J141="demais municípios",VLOOKUP(D141,[1]apoio_Preços_MGS!$A$6:$AN$238,40,FALSE),0)</f>
        <v>548.41999999999996</v>
      </c>
      <c r="AQ141" s="44">
        <v>0</v>
      </c>
      <c r="AR141" s="45">
        <f t="shared" si="65"/>
        <v>23033.64</v>
      </c>
      <c r="AS141" s="45">
        <f t="shared" si="60"/>
        <v>31433.64</v>
      </c>
      <c r="AT141" s="45">
        <f t="shared" si="63"/>
        <v>1886018.4</v>
      </c>
      <c r="AU141" s="62"/>
      <c r="AV141" s="46"/>
      <c r="AW141" s="47"/>
      <c r="AX141" s="48"/>
      <c r="AY141" s="49"/>
      <c r="BA141" s="48"/>
    </row>
    <row r="142" spans="1:53" ht="19.5" customHeight="1" x14ac:dyDescent="0.25">
      <c r="A142" s="33" t="str">
        <f t="shared" si="58"/>
        <v>106062440,05</v>
      </c>
      <c r="B142" s="33" t="str">
        <f t="shared" si="59"/>
        <v>2790,05</v>
      </c>
      <c r="C142" s="34" t="str">
        <f>VLOOKUP(D142,[1]apoio_Preços_MGS!$A$6:$B$238,2,FALSE)</f>
        <v>AUXILIAR DE LIMPEZA</v>
      </c>
      <c r="D142" s="35">
        <v>279</v>
      </c>
      <c r="E142" s="33" t="str">
        <f>VLOOKUP(D142,[1]apoio_Preços_MGS!$A$6:$F$238,6,FALSE)</f>
        <v>AUXILIAR DE LIMPEZA - 12x36 DIURNO - 44H</v>
      </c>
      <c r="F142" s="36">
        <f>IFERROR(VLOOKUP(D142,'[1]apoio_cód catmas'!$B$2:$C$863,2,FALSE),0)</f>
        <v>106062</v>
      </c>
      <c r="G142" s="33" t="str">
        <f>IF(H142="N/A",VLOOKUP(F142&amp;40,'[1]apoio_cód catmas'!$A$1:$G$233,4,FALSE),VLOOKUP(F142&amp;H142,'[1]apoio_cód catmas'!$A$1:$G$233,4,FALSE))</f>
        <v>AUXILIAR DE LIMPEZA - 12X36 DIURNO - 44H</v>
      </c>
      <c r="H142" s="36">
        <v>44</v>
      </c>
      <c r="I142" s="37">
        <v>0.05</v>
      </c>
      <c r="J142" s="38" t="s">
        <v>47</v>
      </c>
      <c r="K142" s="39">
        <v>852</v>
      </c>
      <c r="L142" s="39">
        <f t="shared" si="42"/>
        <v>51120</v>
      </c>
      <c r="M142" s="40">
        <f>VLOOKUP(D142,[1]apoio_Preços_MGS!$A$6:$AN$238,18,FALSE)</f>
        <v>1794.7362817701783</v>
      </c>
      <c r="N142" s="40">
        <f>VLOOKUP(D142,[1]apoio_Preços_MGS!$A$6:$AN$238,19,FALSE)</f>
        <v>0</v>
      </c>
      <c r="O142" s="40">
        <f>VLOOKUP(D142,[1]apoio_Preços_MGS!$A$6:$AN$238,20,FALSE)</f>
        <v>0</v>
      </c>
      <c r="P142" s="40">
        <f>VLOOKUP(D142,[1]apoio_Preços_MGS!$A$6:$AN$238,21,FALSE)</f>
        <v>0</v>
      </c>
      <c r="Q142" s="40">
        <f>VLOOKUP(D142,[1]apoio_Preços_MGS!$A$6:$AN$238,22,FALSE)</f>
        <v>0</v>
      </c>
      <c r="R142" s="40">
        <f>VLOOKUP(D142,[1]apoio_Preços_MGS!$A$6:$AN$238,23,FALSE)</f>
        <v>0</v>
      </c>
      <c r="S142" s="40">
        <f>VLOOKUP(D142,[1]apoio_Preços_MGS!$A$6:$AN$238,24,FALSE)</f>
        <v>0</v>
      </c>
      <c r="T142" s="40">
        <f>VLOOKUP(D142,[1]apoio_Preços_MGS!$A$6:$AN$238,25,FALSE)</f>
        <v>2.4926892802363585</v>
      </c>
      <c r="U142" s="40">
        <f t="shared" si="43"/>
        <v>1797.2289710504147</v>
      </c>
      <c r="V142" s="41">
        <v>0.81799999999999995</v>
      </c>
      <c r="W142" s="40">
        <f t="shared" si="44"/>
        <v>1470.1332983192392</v>
      </c>
      <c r="X142" s="40">
        <f>VLOOKUP(D142,[1]apoio_Preços_MGS!$A$6:$AN$238,29,FALSE)</f>
        <v>26.905000000000001</v>
      </c>
      <c r="Y142" s="40">
        <f>VLOOKUP(D142,[1]apoio_Preços_MGS!$A$6:$AN$238,30,FALSE)</f>
        <v>43.982906556598273</v>
      </c>
      <c r="Z142" s="40">
        <f t="shared" si="45"/>
        <v>70.887906556598267</v>
      </c>
      <c r="AA142" s="40">
        <f>VLOOKUP(D142,[1]apoio_Preços_MGS!$A$6:$AN$238,32,FALSE)</f>
        <v>3.4458936609987418</v>
      </c>
      <c r="AB142" s="40">
        <f>VLOOKUP(D142,[1]apoio_Preços_MGS!$A$6:$AN$238,33,FALSE)</f>
        <v>208.70493990461293</v>
      </c>
      <c r="AC142" s="41">
        <f>VLOOKUP(D142,[1]apoio_Preços_MGS!$A$6:$AN$238,34,FALSE)</f>
        <v>3.4323193950865784E-2</v>
      </c>
      <c r="AD142" s="40">
        <f>(U142+W142+Z142+AB142+AA142+VLOOKUP(C142,[1]apoio_Prec_Folha!$A:$S,7,FALSE))*AC142</f>
        <v>140.6846541255745</v>
      </c>
      <c r="AE142" s="42">
        <f>VLOOKUP(D142,[1]apoio_Preços_MGS!$A$6:$AN$238,36,FALSE)</f>
        <v>7.0000000000000007E-2</v>
      </c>
      <c r="AF142" s="40">
        <f>(U142+W142+Z142+AB142+AD142+AA142+VLOOKUP(C142,[1]apoio_Prec_Folha!$A:$S,7,FALSE))*AE142</f>
        <v>296.7654487584673</v>
      </c>
      <c r="AG142" s="40">
        <f t="shared" si="46"/>
        <v>3987.85</v>
      </c>
      <c r="AH142" s="43">
        <f t="shared" si="47"/>
        <v>4650.55</v>
      </c>
      <c r="AI142" s="43">
        <f t="shared" si="48"/>
        <v>3962268.6</v>
      </c>
      <c r="AJ142" s="43">
        <f t="shared" si="49"/>
        <v>237736116</v>
      </c>
      <c r="AK142" s="44">
        <f>VLOOKUP(D142,[1]apoio_Preços_MGS!$A$6:$AN$238,39,FALSE)</f>
        <v>200.00000000000003</v>
      </c>
      <c r="AL142" s="44">
        <f>IF(J142="demais municípios",VLOOKUP(D142,[1]apoio_Preços_MGS!$A$6:$AN$238,39,FALSE),0)</f>
        <v>0</v>
      </c>
      <c r="AM142" s="44">
        <f>TRUNC(ROUND(($I142)/(1-($I142)),5)*VLOOKUP(D142,[1]apoio_Preços_MGS!$A$6:$AN$238,39,FALSE)+VLOOKUP(D142,[1]apoio_Preços_MGS!$A$6:$AN$238,39,FALSE),2)</f>
        <v>210.52</v>
      </c>
      <c r="AN142" s="45">
        <f t="shared" si="61"/>
        <v>179363.04</v>
      </c>
      <c r="AO142" s="44">
        <f>VLOOKUP(D142,[1]apoio_Preços_MGS!$A$6:$AN$238,40,FALSE)</f>
        <v>548.41999999999996</v>
      </c>
      <c r="AP142" s="44">
        <f>IF(J142="demais municípios",VLOOKUP(D142,[1]apoio_Preços_MGS!$A$6:$AN$238,40,FALSE),0)</f>
        <v>0</v>
      </c>
      <c r="AQ142" s="44">
        <f>TRUNC(ROUND(($I142)/(1-($I142)),5)*VLOOKUP(D142,[1]apoio_Preços_MGS!$A$6:$AN$238,40,FALSE)+VLOOKUP(D142,[1]apoio_Preços_MGS!$A$6:$AN$238,40,FALSE),2)</f>
        <v>577.28</v>
      </c>
      <c r="AR142" s="45">
        <f t="shared" si="62"/>
        <v>491842.56</v>
      </c>
      <c r="AS142" s="45">
        <f t="shared" si="60"/>
        <v>671205.6</v>
      </c>
      <c r="AT142" s="45">
        <f t="shared" si="63"/>
        <v>40272336</v>
      </c>
      <c r="AU142" s="62"/>
      <c r="AV142" s="46"/>
      <c r="AW142" s="47"/>
      <c r="AX142" s="48"/>
      <c r="AY142" s="49"/>
      <c r="BA142" s="48"/>
    </row>
    <row r="143" spans="1:53" ht="19.5" customHeight="1" x14ac:dyDescent="0.25">
      <c r="A143" s="33" t="str">
        <f t="shared" si="58"/>
        <v>106070440,02</v>
      </c>
      <c r="B143" s="33" t="str">
        <f t="shared" si="59"/>
        <v>2800,02</v>
      </c>
      <c r="C143" s="34" t="str">
        <f>VLOOKUP(D143,[1]apoio_Preços_MGS!$A$6:$B$238,2,FALSE)</f>
        <v>AUXILIAR DE LIMPEZA</v>
      </c>
      <c r="D143" s="35">
        <v>280</v>
      </c>
      <c r="E143" s="33" t="str">
        <f>VLOOKUP(D143,[1]apoio_Preços_MGS!$A$6:$F$238,6,FALSE)</f>
        <v>AUXILIAR DE LIMPEZA - 12x36 NOTURNO - 44H</v>
      </c>
      <c r="F143" s="36">
        <f>IFERROR(VLOOKUP(D143,'[1]apoio_cód catmas'!$B$2:$C$863,2,FALSE),0)</f>
        <v>106070</v>
      </c>
      <c r="G143" s="33" t="str">
        <f>IF(H143="N/A",VLOOKUP(F143&amp;40,'[1]apoio_cód catmas'!$A$1:$G$233,4,FALSE),VLOOKUP(F143&amp;H143,'[1]apoio_cód catmas'!$A$1:$G$233,4,FALSE))</f>
        <v>AUXILIAR DE LIMPEZA - 12X36 NOTURNO - 44H</v>
      </c>
      <c r="H143" s="36">
        <v>44</v>
      </c>
      <c r="I143" s="37">
        <v>0.02</v>
      </c>
      <c r="J143" s="38" t="s">
        <v>46</v>
      </c>
      <c r="K143" s="39">
        <v>19</v>
      </c>
      <c r="L143" s="39">
        <f t="shared" si="42"/>
        <v>1140</v>
      </c>
      <c r="M143" s="40">
        <f>VLOOKUP(D143,[1]apoio_Preços_MGS!$A$6:$AN$238,18,FALSE)</f>
        <v>1794.7362817701783</v>
      </c>
      <c r="N143" s="40">
        <f>VLOOKUP(D143,[1]apoio_Preços_MGS!$A$6:$AN$238,19,FALSE)</f>
        <v>0</v>
      </c>
      <c r="O143" s="40">
        <f>VLOOKUP(D143,[1]apoio_Preços_MGS!$A$6:$AN$238,20,FALSE)</f>
        <v>418.10079159950112</v>
      </c>
      <c r="P143" s="40">
        <f>VLOOKUP(D143,[1]apoio_Preços_MGS!$A$6:$AN$238,21,FALSE)</f>
        <v>9.1264983788791074</v>
      </c>
      <c r="Q143" s="40">
        <f>VLOOKUP(D143,[1]apoio_Preços_MGS!$A$6:$AN$238,22,FALSE)</f>
        <v>34.224358653485965</v>
      </c>
      <c r="R143" s="40">
        <f>VLOOKUP(D143,[1]apoio_Preços_MGS!$A$6:$AN$238,23,FALSE)</f>
        <v>0</v>
      </c>
      <c r="S143" s="40">
        <f>VLOOKUP(D143,[1]apoio_Preços_MGS!$A$6:$AN$238,24,FALSE)</f>
        <v>0</v>
      </c>
      <c r="T143" s="40">
        <f>VLOOKUP(D143,[1]apoio_Preços_MGS!$A$6:$AN$238,25,FALSE)</f>
        <v>2.4926892802363585</v>
      </c>
      <c r="U143" s="40">
        <f t="shared" si="43"/>
        <v>2258.6806196822808</v>
      </c>
      <c r="V143" s="41">
        <v>0.81799999999999995</v>
      </c>
      <c r="W143" s="40">
        <f t="shared" si="44"/>
        <v>1847.6007469001056</v>
      </c>
      <c r="X143" s="40">
        <f>VLOOKUP(D143,[1]apoio_Preços_MGS!$A$6:$AN$238,29,FALSE)</f>
        <v>26.905000000000001</v>
      </c>
      <c r="Y143" s="40">
        <f>VLOOKUP(D143,[1]apoio_Preços_MGS!$A$6:$AN$238,30,FALSE)</f>
        <v>43.982906556598273</v>
      </c>
      <c r="Z143" s="40">
        <f t="shared" si="45"/>
        <v>70.887906556598267</v>
      </c>
      <c r="AA143" s="40">
        <f>VLOOKUP(D143,[1]apoio_Preços_MGS!$A$6:$AN$238,32,FALSE)</f>
        <v>3.4458936609987418</v>
      </c>
      <c r="AB143" s="40">
        <f>VLOOKUP(D143,[1]apoio_Preços_MGS!$A$6:$AN$238,33,FALSE)</f>
        <v>208.70493990461293</v>
      </c>
      <c r="AC143" s="41">
        <f>VLOOKUP(D143,[1]apoio_Preços_MGS!$A$6:$AN$238,34,FALSE)</f>
        <v>3.4323193950865784E-2</v>
      </c>
      <c r="AD143" s="40">
        <f>(U143+W143+Z143+AB143+AA143+VLOOKUP(C143,[1]apoio_Prec_Folha!$A:$S,7,FALSE))*AC143</f>
        <v>169.47903700829235</v>
      </c>
      <c r="AE143" s="42">
        <f>VLOOKUP(D143,[1]apoio_Preços_MGS!$A$6:$AN$238,36,FALSE)</f>
        <v>7.0000000000000007E-2</v>
      </c>
      <c r="AF143" s="40">
        <f>(U143+W143+Z143+AB143+AD143+AA143+VLOOKUP(C143,[1]apoio_Prec_Folha!$A:$S,7,FALSE))*AE143</f>
        <v>357.50539236514885</v>
      </c>
      <c r="AG143" s="40">
        <f t="shared" si="46"/>
        <v>4916.3</v>
      </c>
      <c r="AH143" s="43">
        <f t="shared" si="47"/>
        <v>5539.49</v>
      </c>
      <c r="AI143" s="43">
        <f t="shared" si="48"/>
        <v>105250.31</v>
      </c>
      <c r="AJ143" s="43">
        <f t="shared" si="49"/>
        <v>6315018.5999999996</v>
      </c>
      <c r="AK143" s="44">
        <f>VLOOKUP(D143,[1]apoio_Preços_MGS!$A$6:$AN$238,39,FALSE)</f>
        <v>200.00000000000003</v>
      </c>
      <c r="AL143" s="44">
        <f>IF(J143="demais municípios",VLOOKUP(D143,[1]apoio_Preços_MGS!$A$6:$AN$238,39,FALSE),0)</f>
        <v>200.00000000000003</v>
      </c>
      <c r="AM143" s="44">
        <v>0</v>
      </c>
      <c r="AN143" s="45">
        <f t="shared" ref="AN143:AN148" si="66">AK143*K143</f>
        <v>3800.0000000000005</v>
      </c>
      <c r="AO143" s="44">
        <f>VLOOKUP(D143,[1]apoio_Preços_MGS!$A$6:$AN$238,40,FALSE)</f>
        <v>548.41999999999996</v>
      </c>
      <c r="AP143" s="44">
        <f>IF(J143="demais municípios",VLOOKUP(D143,[1]apoio_Preços_MGS!$A$6:$AN$238,40,FALSE),0)</f>
        <v>548.41999999999996</v>
      </c>
      <c r="AQ143" s="44">
        <v>0</v>
      </c>
      <c r="AR143" s="45">
        <f t="shared" ref="AR143:AR148" si="67">AO143*K143</f>
        <v>10419.98</v>
      </c>
      <c r="AS143" s="45">
        <f t="shared" si="60"/>
        <v>14219.98</v>
      </c>
      <c r="AT143" s="45">
        <f t="shared" si="63"/>
        <v>853198.79999999993</v>
      </c>
      <c r="AU143" s="62"/>
      <c r="AV143" s="46"/>
      <c r="AW143" s="47"/>
      <c r="AX143" s="48"/>
      <c r="AY143" s="49"/>
      <c r="BA143" s="48"/>
    </row>
    <row r="144" spans="1:53" ht="19.5" customHeight="1" x14ac:dyDescent="0.25">
      <c r="A144" s="33" t="str">
        <f t="shared" si="58"/>
        <v>106070440,03</v>
      </c>
      <c r="B144" s="33" t="str">
        <f t="shared" si="59"/>
        <v>2800,03</v>
      </c>
      <c r="C144" s="34" t="str">
        <f>VLOOKUP(D144,[1]apoio_Preços_MGS!$A$6:$B$238,2,FALSE)</f>
        <v>AUXILIAR DE LIMPEZA</v>
      </c>
      <c r="D144" s="35">
        <v>280</v>
      </c>
      <c r="E144" s="33" t="str">
        <f>VLOOKUP(D144,[1]apoio_Preços_MGS!$A$6:$F$238,6,FALSE)</f>
        <v>AUXILIAR DE LIMPEZA - 12x36 NOTURNO - 44H</v>
      </c>
      <c r="F144" s="36">
        <f>IFERROR(VLOOKUP(D144,'[1]apoio_cód catmas'!$B$2:$C$863,2,FALSE),0)</f>
        <v>106070</v>
      </c>
      <c r="G144" s="33" t="str">
        <f>IF(H144="N/A",VLOOKUP(F144&amp;40,'[1]apoio_cód catmas'!$A$1:$G$233,4,FALSE),VLOOKUP(F144&amp;H144,'[1]apoio_cód catmas'!$A$1:$G$233,4,FALSE))</f>
        <v>AUXILIAR DE LIMPEZA - 12X36 NOTURNO - 44H</v>
      </c>
      <c r="H144" s="36">
        <v>44</v>
      </c>
      <c r="I144" s="37">
        <v>0.03</v>
      </c>
      <c r="J144" s="38" t="s">
        <v>46</v>
      </c>
      <c r="K144" s="39">
        <f>29-2</f>
        <v>27</v>
      </c>
      <c r="L144" s="39">
        <f t="shared" si="42"/>
        <v>1620</v>
      </c>
      <c r="M144" s="40">
        <f>VLOOKUP(D144,[1]apoio_Preços_MGS!$A$6:$AN$238,18,FALSE)</f>
        <v>1794.7362817701783</v>
      </c>
      <c r="N144" s="40">
        <f>VLOOKUP(D144,[1]apoio_Preços_MGS!$A$6:$AN$238,19,FALSE)</f>
        <v>0</v>
      </c>
      <c r="O144" s="40">
        <f>VLOOKUP(D144,[1]apoio_Preços_MGS!$A$6:$AN$238,20,FALSE)</f>
        <v>418.10079159950112</v>
      </c>
      <c r="P144" s="40">
        <f>VLOOKUP(D144,[1]apoio_Preços_MGS!$A$6:$AN$238,21,FALSE)</f>
        <v>9.1264983788791074</v>
      </c>
      <c r="Q144" s="40">
        <f>VLOOKUP(D144,[1]apoio_Preços_MGS!$A$6:$AN$238,22,FALSE)</f>
        <v>34.224358653485965</v>
      </c>
      <c r="R144" s="40">
        <f>VLOOKUP(D144,[1]apoio_Preços_MGS!$A$6:$AN$238,23,FALSE)</f>
        <v>0</v>
      </c>
      <c r="S144" s="40">
        <f>VLOOKUP(D144,[1]apoio_Preços_MGS!$A$6:$AN$238,24,FALSE)</f>
        <v>0</v>
      </c>
      <c r="T144" s="40">
        <f>VLOOKUP(D144,[1]apoio_Preços_MGS!$A$6:$AN$238,25,FALSE)</f>
        <v>2.4926892802363585</v>
      </c>
      <c r="U144" s="40">
        <f t="shared" si="43"/>
        <v>2258.6806196822808</v>
      </c>
      <c r="V144" s="41">
        <v>0.81799999999999995</v>
      </c>
      <c r="W144" s="40">
        <f t="shared" si="44"/>
        <v>1847.6007469001056</v>
      </c>
      <c r="X144" s="40">
        <f>VLOOKUP(D144,[1]apoio_Preços_MGS!$A$6:$AN$238,29,FALSE)</f>
        <v>26.905000000000001</v>
      </c>
      <c r="Y144" s="40">
        <f>VLOOKUP(D144,[1]apoio_Preços_MGS!$A$6:$AN$238,30,FALSE)</f>
        <v>43.982906556598273</v>
      </c>
      <c r="Z144" s="40">
        <f t="shared" si="45"/>
        <v>70.887906556598267</v>
      </c>
      <c r="AA144" s="40">
        <f>VLOOKUP(D144,[1]apoio_Preços_MGS!$A$6:$AN$238,32,FALSE)</f>
        <v>3.4458936609987418</v>
      </c>
      <c r="AB144" s="40">
        <f>VLOOKUP(D144,[1]apoio_Preços_MGS!$A$6:$AN$238,33,FALSE)</f>
        <v>208.70493990461293</v>
      </c>
      <c r="AC144" s="41">
        <f>VLOOKUP(D144,[1]apoio_Preços_MGS!$A$6:$AN$238,34,FALSE)</f>
        <v>3.4323193950865784E-2</v>
      </c>
      <c r="AD144" s="40">
        <f>(U144+W144+Z144+AB144+AA144+VLOOKUP(C144,[1]apoio_Prec_Folha!$A:$S,7,FALSE))*AC144</f>
        <v>169.47903700829235</v>
      </c>
      <c r="AE144" s="42">
        <f>VLOOKUP(D144,[1]apoio_Preços_MGS!$A$6:$AN$238,36,FALSE)</f>
        <v>7.0000000000000007E-2</v>
      </c>
      <c r="AF144" s="40">
        <f>(U144+W144+Z144+AB144+AD144+AA144+VLOOKUP(C144,[1]apoio_Prec_Folha!$A:$S,7,FALSE))*AE144</f>
        <v>357.50539236514885</v>
      </c>
      <c r="AG144" s="40">
        <f t="shared" si="46"/>
        <v>4916.3</v>
      </c>
      <c r="AH144" s="43">
        <f t="shared" si="47"/>
        <v>5602.61</v>
      </c>
      <c r="AI144" s="43">
        <f t="shared" si="48"/>
        <v>151270.47</v>
      </c>
      <c r="AJ144" s="43">
        <f t="shared" si="49"/>
        <v>9076228.1999999993</v>
      </c>
      <c r="AK144" s="44">
        <f>VLOOKUP(D144,[1]apoio_Preços_MGS!$A$6:$AN$238,39,FALSE)</f>
        <v>200.00000000000003</v>
      </c>
      <c r="AL144" s="44">
        <f>IF(J144="demais municípios",VLOOKUP(D144,[1]apoio_Preços_MGS!$A$6:$AN$238,39,FALSE),0)</f>
        <v>200.00000000000003</v>
      </c>
      <c r="AM144" s="44">
        <v>0</v>
      </c>
      <c r="AN144" s="45">
        <f t="shared" si="66"/>
        <v>5400.0000000000009</v>
      </c>
      <c r="AO144" s="44">
        <f>VLOOKUP(D144,[1]apoio_Preços_MGS!$A$6:$AN$238,40,FALSE)</f>
        <v>548.41999999999996</v>
      </c>
      <c r="AP144" s="44">
        <f>IF(J144="demais municípios",VLOOKUP(D144,[1]apoio_Preços_MGS!$A$6:$AN$238,40,FALSE),0)</f>
        <v>548.41999999999996</v>
      </c>
      <c r="AQ144" s="44">
        <v>0</v>
      </c>
      <c r="AR144" s="45">
        <f t="shared" si="67"/>
        <v>14807.339999999998</v>
      </c>
      <c r="AS144" s="45">
        <f t="shared" si="60"/>
        <v>20207.34</v>
      </c>
      <c r="AT144" s="45">
        <f t="shared" si="63"/>
        <v>1212440.3999999999</v>
      </c>
      <c r="AU144" s="62"/>
      <c r="AV144" s="46"/>
      <c r="AW144" s="47"/>
      <c r="AX144" s="48"/>
      <c r="AY144" s="49"/>
      <c r="BA144" s="48"/>
    </row>
    <row r="145" spans="1:53" ht="19.5" customHeight="1" x14ac:dyDescent="0.25">
      <c r="A145" s="33" t="str">
        <f t="shared" si="58"/>
        <v>106070440,035</v>
      </c>
      <c r="B145" s="33" t="str">
        <f t="shared" si="59"/>
        <v>2800,035</v>
      </c>
      <c r="C145" s="34" t="str">
        <f>VLOOKUP(D145,[1]apoio_Preços_MGS!$A$6:$B$238,2,FALSE)</f>
        <v>AUXILIAR DE LIMPEZA</v>
      </c>
      <c r="D145" s="35">
        <v>280</v>
      </c>
      <c r="E145" s="33" t="str">
        <f>VLOOKUP(D145,[1]apoio_Preços_MGS!$A$6:$F$238,6,FALSE)</f>
        <v>AUXILIAR DE LIMPEZA - 12x36 NOTURNO - 44H</v>
      </c>
      <c r="F145" s="36">
        <f>IFERROR(VLOOKUP(D145,'[1]apoio_cód catmas'!$B$2:$C$863,2,FALSE),0)</f>
        <v>106070</v>
      </c>
      <c r="G145" s="33" t="str">
        <f>IF(H145="N/A",VLOOKUP(F145&amp;40,'[1]apoio_cód catmas'!$A$1:$G$233,4,FALSE),VLOOKUP(F145&amp;H145,'[1]apoio_cód catmas'!$A$1:$G$233,4,FALSE))</f>
        <v>AUXILIAR DE LIMPEZA - 12X36 NOTURNO - 44H</v>
      </c>
      <c r="H145" s="36">
        <v>44</v>
      </c>
      <c r="I145" s="37">
        <v>3.5000000000000003E-2</v>
      </c>
      <c r="J145" s="38" t="s">
        <v>46</v>
      </c>
      <c r="K145" s="39">
        <v>30</v>
      </c>
      <c r="L145" s="39">
        <f t="shared" si="42"/>
        <v>1800</v>
      </c>
      <c r="M145" s="40">
        <f>VLOOKUP(D145,[1]apoio_Preços_MGS!$A$6:$AN$238,18,FALSE)</f>
        <v>1794.7362817701783</v>
      </c>
      <c r="N145" s="40">
        <f>VLOOKUP(D145,[1]apoio_Preços_MGS!$A$6:$AN$238,19,FALSE)</f>
        <v>0</v>
      </c>
      <c r="O145" s="40">
        <f>VLOOKUP(D145,[1]apoio_Preços_MGS!$A$6:$AN$238,20,FALSE)</f>
        <v>418.10079159950112</v>
      </c>
      <c r="P145" s="40">
        <f>VLOOKUP(D145,[1]apoio_Preços_MGS!$A$6:$AN$238,21,FALSE)</f>
        <v>9.1264983788791074</v>
      </c>
      <c r="Q145" s="40">
        <f>VLOOKUP(D145,[1]apoio_Preços_MGS!$A$6:$AN$238,22,FALSE)</f>
        <v>34.224358653485965</v>
      </c>
      <c r="R145" s="40">
        <f>VLOOKUP(D145,[1]apoio_Preços_MGS!$A$6:$AN$238,23,FALSE)</f>
        <v>0</v>
      </c>
      <c r="S145" s="40">
        <f>VLOOKUP(D145,[1]apoio_Preços_MGS!$A$6:$AN$238,24,FALSE)</f>
        <v>0</v>
      </c>
      <c r="T145" s="40">
        <f>VLOOKUP(D145,[1]apoio_Preços_MGS!$A$6:$AN$238,25,FALSE)</f>
        <v>2.4926892802363585</v>
      </c>
      <c r="U145" s="40">
        <f t="shared" si="43"/>
        <v>2258.6806196822808</v>
      </c>
      <c r="V145" s="41">
        <v>0.81799999999999995</v>
      </c>
      <c r="W145" s="40">
        <f t="shared" si="44"/>
        <v>1847.6007469001056</v>
      </c>
      <c r="X145" s="40">
        <f>VLOOKUP(D145,[1]apoio_Preços_MGS!$A$6:$AN$238,29,FALSE)</f>
        <v>26.905000000000001</v>
      </c>
      <c r="Y145" s="40">
        <f>VLOOKUP(D145,[1]apoio_Preços_MGS!$A$6:$AN$238,30,FALSE)</f>
        <v>43.982906556598273</v>
      </c>
      <c r="Z145" s="40">
        <f t="shared" si="45"/>
        <v>70.887906556598267</v>
      </c>
      <c r="AA145" s="40">
        <f>VLOOKUP(D145,[1]apoio_Preços_MGS!$A$6:$AN$238,32,FALSE)</f>
        <v>3.4458936609987418</v>
      </c>
      <c r="AB145" s="40">
        <f>VLOOKUP(D145,[1]apoio_Preços_MGS!$A$6:$AN$238,33,FALSE)</f>
        <v>208.70493990461293</v>
      </c>
      <c r="AC145" s="41">
        <f>VLOOKUP(D145,[1]apoio_Preços_MGS!$A$6:$AN$238,34,FALSE)</f>
        <v>3.4323193950865784E-2</v>
      </c>
      <c r="AD145" s="40">
        <f>(U145+W145+Z145+AB145+AA145+VLOOKUP(C145,[1]apoio_Prec_Folha!$A:$S,7,FALSE))*AC145</f>
        <v>169.47903700829235</v>
      </c>
      <c r="AE145" s="42">
        <f>VLOOKUP(D145,[1]apoio_Preços_MGS!$A$6:$AN$238,36,FALSE)</f>
        <v>7.0000000000000007E-2</v>
      </c>
      <c r="AF145" s="40">
        <f>(U145+W145+Z145+AB145+AD145+AA145+VLOOKUP(C145,[1]apoio_Prec_Folha!$A:$S,7,FALSE))*AE145</f>
        <v>357.50539236514885</v>
      </c>
      <c r="AG145" s="40">
        <f t="shared" si="46"/>
        <v>4916.3</v>
      </c>
      <c r="AH145" s="43">
        <f t="shared" si="47"/>
        <v>5634.71</v>
      </c>
      <c r="AI145" s="43">
        <f t="shared" si="48"/>
        <v>169041.3</v>
      </c>
      <c r="AJ145" s="43">
        <f t="shared" si="49"/>
        <v>10142478</v>
      </c>
      <c r="AK145" s="44">
        <f>VLOOKUP(D145,[1]apoio_Preços_MGS!$A$6:$AN$238,39,FALSE)</f>
        <v>200.00000000000003</v>
      </c>
      <c r="AL145" s="44">
        <f>IF(J145="demais municípios",VLOOKUP(D145,[1]apoio_Preços_MGS!$A$6:$AN$238,39,FALSE),0)</f>
        <v>200.00000000000003</v>
      </c>
      <c r="AM145" s="44">
        <v>0</v>
      </c>
      <c r="AN145" s="45">
        <f t="shared" si="66"/>
        <v>6000.0000000000009</v>
      </c>
      <c r="AO145" s="44">
        <f>VLOOKUP(D145,[1]apoio_Preços_MGS!$A$6:$AN$238,40,FALSE)</f>
        <v>548.41999999999996</v>
      </c>
      <c r="AP145" s="44">
        <f>IF(J145="demais municípios",VLOOKUP(D145,[1]apoio_Preços_MGS!$A$6:$AN$238,40,FALSE),0)</f>
        <v>548.41999999999996</v>
      </c>
      <c r="AQ145" s="44">
        <v>0</v>
      </c>
      <c r="AR145" s="45">
        <f t="shared" si="67"/>
        <v>16452.599999999999</v>
      </c>
      <c r="AS145" s="45">
        <f t="shared" si="60"/>
        <v>22452.6</v>
      </c>
      <c r="AT145" s="45">
        <f t="shared" si="63"/>
        <v>1347156</v>
      </c>
      <c r="AU145" s="62"/>
      <c r="AV145" s="46"/>
      <c r="AW145" s="47"/>
      <c r="AX145" s="48"/>
      <c r="AY145" s="49"/>
      <c r="BA145" s="48"/>
    </row>
    <row r="146" spans="1:53" ht="19.5" customHeight="1" x14ac:dyDescent="0.25">
      <c r="A146" s="33" t="str">
        <f t="shared" si="58"/>
        <v>106070440,038</v>
      </c>
      <c r="B146" s="33" t="str">
        <f t="shared" si="59"/>
        <v>2800,038</v>
      </c>
      <c r="C146" s="34" t="str">
        <f>VLOOKUP(D146,[1]apoio_Preços_MGS!$A$6:$B$238,2,FALSE)</f>
        <v>AUXILIAR DE LIMPEZA</v>
      </c>
      <c r="D146" s="35">
        <v>280</v>
      </c>
      <c r="E146" s="33" t="str">
        <f>VLOOKUP(D146,[1]apoio_Preços_MGS!$A$6:$F$238,6,FALSE)</f>
        <v>AUXILIAR DE LIMPEZA - 12x36 NOTURNO - 44H</v>
      </c>
      <c r="F146" s="36">
        <f>IFERROR(VLOOKUP(D146,'[1]apoio_cód catmas'!$B$2:$C$863,2,FALSE),0)</f>
        <v>106070</v>
      </c>
      <c r="G146" s="33" t="str">
        <f>IF(H146="N/A",VLOOKUP(F146&amp;40,'[1]apoio_cód catmas'!$A$1:$G$233,4,FALSE),VLOOKUP(F146&amp;H146,'[1]apoio_cód catmas'!$A$1:$G$233,4,FALSE))</f>
        <v>AUXILIAR DE LIMPEZA - 12X36 NOTURNO - 44H</v>
      </c>
      <c r="H146" s="36">
        <v>44</v>
      </c>
      <c r="I146" s="37">
        <v>3.7999999999999999E-2</v>
      </c>
      <c r="J146" s="38" t="s">
        <v>46</v>
      </c>
      <c r="K146" s="39">
        <v>8</v>
      </c>
      <c r="L146" s="39">
        <f t="shared" si="42"/>
        <v>480</v>
      </c>
      <c r="M146" s="40">
        <f>VLOOKUP(D146,[1]apoio_Preços_MGS!$A$6:$AN$238,18,FALSE)</f>
        <v>1794.7362817701783</v>
      </c>
      <c r="N146" s="40">
        <f>VLOOKUP(D146,[1]apoio_Preços_MGS!$A$6:$AN$238,19,FALSE)</f>
        <v>0</v>
      </c>
      <c r="O146" s="40">
        <f>VLOOKUP(D146,[1]apoio_Preços_MGS!$A$6:$AN$238,20,FALSE)</f>
        <v>418.10079159950112</v>
      </c>
      <c r="P146" s="40">
        <f>VLOOKUP(D146,[1]apoio_Preços_MGS!$A$6:$AN$238,21,FALSE)</f>
        <v>9.1264983788791074</v>
      </c>
      <c r="Q146" s="40">
        <f>VLOOKUP(D146,[1]apoio_Preços_MGS!$A$6:$AN$238,22,FALSE)</f>
        <v>34.224358653485965</v>
      </c>
      <c r="R146" s="40">
        <f>VLOOKUP(D146,[1]apoio_Preços_MGS!$A$6:$AN$238,23,FALSE)</f>
        <v>0</v>
      </c>
      <c r="S146" s="40">
        <f>VLOOKUP(D146,[1]apoio_Preços_MGS!$A$6:$AN$238,24,FALSE)</f>
        <v>0</v>
      </c>
      <c r="T146" s="40">
        <f>VLOOKUP(D146,[1]apoio_Preços_MGS!$A$6:$AN$238,25,FALSE)</f>
        <v>2.4926892802363585</v>
      </c>
      <c r="U146" s="40">
        <f t="shared" si="43"/>
        <v>2258.6806196822808</v>
      </c>
      <c r="V146" s="41">
        <v>0.81799999999999995</v>
      </c>
      <c r="W146" s="40">
        <f t="shared" si="44"/>
        <v>1847.6007469001056</v>
      </c>
      <c r="X146" s="40">
        <f>VLOOKUP(D146,[1]apoio_Preços_MGS!$A$6:$AN$238,29,FALSE)</f>
        <v>26.905000000000001</v>
      </c>
      <c r="Y146" s="40">
        <f>VLOOKUP(D146,[1]apoio_Preços_MGS!$A$6:$AN$238,30,FALSE)</f>
        <v>43.982906556598273</v>
      </c>
      <c r="Z146" s="40">
        <f t="shared" si="45"/>
        <v>70.887906556598267</v>
      </c>
      <c r="AA146" s="40">
        <f>VLOOKUP(D146,[1]apoio_Preços_MGS!$A$6:$AN$238,32,FALSE)</f>
        <v>3.4458936609987418</v>
      </c>
      <c r="AB146" s="40">
        <f>VLOOKUP(D146,[1]apoio_Preços_MGS!$A$6:$AN$238,33,FALSE)</f>
        <v>208.70493990461293</v>
      </c>
      <c r="AC146" s="41">
        <f>VLOOKUP(D146,[1]apoio_Preços_MGS!$A$6:$AN$238,34,FALSE)</f>
        <v>3.4323193950865784E-2</v>
      </c>
      <c r="AD146" s="40">
        <f>(U146+W146+Z146+AB146+AA146+VLOOKUP(C146,[1]apoio_Prec_Folha!$A:$S,7,FALSE))*AC146</f>
        <v>169.47903700829235</v>
      </c>
      <c r="AE146" s="42">
        <f>VLOOKUP(D146,[1]apoio_Preços_MGS!$A$6:$AN$238,36,FALSE)</f>
        <v>7.0000000000000007E-2</v>
      </c>
      <c r="AF146" s="40">
        <f>(U146+W146+Z146+AB146+AD146+AA146+VLOOKUP(C146,[1]apoio_Prec_Folha!$A:$S,7,FALSE))*AE146</f>
        <v>357.50539236514885</v>
      </c>
      <c r="AG146" s="40">
        <f t="shared" si="46"/>
        <v>4916.3</v>
      </c>
      <c r="AH146" s="43">
        <f t="shared" si="47"/>
        <v>5654.18</v>
      </c>
      <c r="AI146" s="43">
        <f t="shared" si="48"/>
        <v>45233.440000000002</v>
      </c>
      <c r="AJ146" s="43">
        <f t="shared" si="49"/>
        <v>2714006.4000000004</v>
      </c>
      <c r="AK146" s="44">
        <f>VLOOKUP(D146,[1]apoio_Preços_MGS!$A$6:$AN$238,39,FALSE)</f>
        <v>200.00000000000003</v>
      </c>
      <c r="AL146" s="44">
        <f>IF(J146="demais municípios",VLOOKUP(D146,[1]apoio_Preços_MGS!$A$6:$AN$238,39,FALSE),0)</f>
        <v>200.00000000000003</v>
      </c>
      <c r="AM146" s="44">
        <v>0</v>
      </c>
      <c r="AN146" s="45">
        <f t="shared" si="66"/>
        <v>1600.0000000000002</v>
      </c>
      <c r="AO146" s="44">
        <f>VLOOKUP(D146,[1]apoio_Preços_MGS!$A$6:$AN$238,40,FALSE)</f>
        <v>548.41999999999996</v>
      </c>
      <c r="AP146" s="44">
        <f>IF(J146="demais municípios",VLOOKUP(D146,[1]apoio_Preços_MGS!$A$6:$AN$238,40,FALSE),0)</f>
        <v>548.41999999999996</v>
      </c>
      <c r="AQ146" s="44">
        <v>0</v>
      </c>
      <c r="AR146" s="45">
        <f t="shared" si="67"/>
        <v>4387.3599999999997</v>
      </c>
      <c r="AS146" s="45">
        <f t="shared" si="60"/>
        <v>5987.36</v>
      </c>
      <c r="AT146" s="45">
        <f t="shared" si="63"/>
        <v>359241.6</v>
      </c>
      <c r="AU146" s="62"/>
      <c r="AV146" s="46"/>
      <c r="AW146" s="47"/>
      <c r="AX146" s="48"/>
      <c r="AY146" s="49"/>
      <c r="BA146" s="48"/>
    </row>
    <row r="147" spans="1:53" ht="19.5" customHeight="1" x14ac:dyDescent="0.25">
      <c r="A147" s="33" t="str">
        <f t="shared" si="58"/>
        <v>106070440,05</v>
      </c>
      <c r="B147" s="33" t="str">
        <f t="shared" si="59"/>
        <v>2800,05</v>
      </c>
      <c r="C147" s="34" t="str">
        <f>VLOOKUP(D147,[1]apoio_Preços_MGS!$A$6:$B$238,2,FALSE)</f>
        <v>AUXILIAR DE LIMPEZA</v>
      </c>
      <c r="D147" s="35">
        <v>280</v>
      </c>
      <c r="E147" s="33" t="str">
        <f>VLOOKUP(D147,[1]apoio_Preços_MGS!$A$6:$F$238,6,FALSE)</f>
        <v>AUXILIAR DE LIMPEZA - 12x36 NOTURNO - 44H</v>
      </c>
      <c r="F147" s="36">
        <f>IFERROR(VLOOKUP(D147,'[1]apoio_cód catmas'!$B$2:$C$863,2,FALSE),0)</f>
        <v>106070</v>
      </c>
      <c r="G147" s="33" t="str">
        <f>IF(H147="N/A",VLOOKUP(F147&amp;40,'[1]apoio_cód catmas'!$A$1:$G$233,4,FALSE),VLOOKUP(F147&amp;H147,'[1]apoio_cód catmas'!$A$1:$G$233,4,FALSE))</f>
        <v>AUXILIAR DE LIMPEZA - 12X36 NOTURNO - 44H</v>
      </c>
      <c r="H147" s="36">
        <v>44</v>
      </c>
      <c r="I147" s="37">
        <v>0.05</v>
      </c>
      <c r="J147" s="38" t="s">
        <v>46</v>
      </c>
      <c r="K147" s="39">
        <v>2</v>
      </c>
      <c r="L147" s="39">
        <f t="shared" si="42"/>
        <v>120</v>
      </c>
      <c r="M147" s="40">
        <f>VLOOKUP(D147,[1]apoio_Preços_MGS!$A$6:$AN$238,18,FALSE)</f>
        <v>1794.7362817701783</v>
      </c>
      <c r="N147" s="40">
        <f>VLOOKUP(D147,[1]apoio_Preços_MGS!$A$6:$AN$238,19,FALSE)</f>
        <v>0</v>
      </c>
      <c r="O147" s="40">
        <f>VLOOKUP(D147,[1]apoio_Preços_MGS!$A$6:$AN$238,20,FALSE)</f>
        <v>418.10079159950112</v>
      </c>
      <c r="P147" s="40">
        <f>VLOOKUP(D147,[1]apoio_Preços_MGS!$A$6:$AN$238,21,FALSE)</f>
        <v>9.1264983788791074</v>
      </c>
      <c r="Q147" s="40">
        <f>VLOOKUP(D147,[1]apoio_Preços_MGS!$A$6:$AN$238,22,FALSE)</f>
        <v>34.224358653485965</v>
      </c>
      <c r="R147" s="40">
        <f>VLOOKUP(D147,[1]apoio_Preços_MGS!$A$6:$AN$238,23,FALSE)</f>
        <v>0</v>
      </c>
      <c r="S147" s="40">
        <f>VLOOKUP(D147,[1]apoio_Preços_MGS!$A$6:$AN$238,24,FALSE)</f>
        <v>0</v>
      </c>
      <c r="T147" s="40">
        <f>VLOOKUP(D147,[1]apoio_Preços_MGS!$A$6:$AN$238,25,FALSE)</f>
        <v>2.4926892802363585</v>
      </c>
      <c r="U147" s="40">
        <f t="shared" si="43"/>
        <v>2258.6806196822808</v>
      </c>
      <c r="V147" s="41">
        <v>0.81799999999999995</v>
      </c>
      <c r="W147" s="40">
        <f t="shared" si="44"/>
        <v>1847.6007469001056</v>
      </c>
      <c r="X147" s="40">
        <f>VLOOKUP(D147,[1]apoio_Preços_MGS!$A$6:$AN$238,29,FALSE)</f>
        <v>26.905000000000001</v>
      </c>
      <c r="Y147" s="40">
        <f>VLOOKUP(D147,[1]apoio_Preços_MGS!$A$6:$AN$238,30,FALSE)</f>
        <v>43.982906556598273</v>
      </c>
      <c r="Z147" s="40">
        <f t="shared" si="45"/>
        <v>70.887906556598267</v>
      </c>
      <c r="AA147" s="40">
        <f>VLOOKUP(D147,[1]apoio_Preços_MGS!$A$6:$AN$238,32,FALSE)</f>
        <v>3.4458936609987418</v>
      </c>
      <c r="AB147" s="40">
        <f>VLOOKUP(D147,[1]apoio_Preços_MGS!$A$6:$AN$238,33,FALSE)</f>
        <v>208.70493990461293</v>
      </c>
      <c r="AC147" s="41">
        <f>VLOOKUP(D147,[1]apoio_Preços_MGS!$A$6:$AN$238,34,FALSE)</f>
        <v>3.4323193950865784E-2</v>
      </c>
      <c r="AD147" s="40">
        <f>(U147+W147+Z147+AB147+AA147+VLOOKUP(C147,[1]apoio_Prec_Folha!$A:$S,7,FALSE))*AC147</f>
        <v>169.47903700829235</v>
      </c>
      <c r="AE147" s="42">
        <f>VLOOKUP(D147,[1]apoio_Preços_MGS!$A$6:$AN$238,36,FALSE)</f>
        <v>7.0000000000000007E-2</v>
      </c>
      <c r="AF147" s="40">
        <f>(U147+W147+Z147+AB147+AD147+AA147+VLOOKUP(C147,[1]apoio_Prec_Folha!$A:$S,7,FALSE))*AE147</f>
        <v>357.50539236514885</v>
      </c>
      <c r="AG147" s="40">
        <f t="shared" si="46"/>
        <v>4916.3</v>
      </c>
      <c r="AH147" s="43">
        <f t="shared" si="47"/>
        <v>5733.29</v>
      </c>
      <c r="AI147" s="43">
        <f t="shared" si="48"/>
        <v>11466.58</v>
      </c>
      <c r="AJ147" s="43">
        <f t="shared" si="49"/>
        <v>687994.8</v>
      </c>
      <c r="AK147" s="44">
        <f>VLOOKUP(D147,[1]apoio_Preços_MGS!$A$6:$AN$238,39,FALSE)</f>
        <v>200.00000000000003</v>
      </c>
      <c r="AL147" s="44">
        <f>IF(J147="demais municípios",VLOOKUP(D147,[1]apoio_Preços_MGS!$A$6:$AN$238,39,FALSE),0)</f>
        <v>200.00000000000003</v>
      </c>
      <c r="AM147" s="44">
        <v>0</v>
      </c>
      <c r="AN147" s="45">
        <f t="shared" si="66"/>
        <v>400.00000000000006</v>
      </c>
      <c r="AO147" s="44">
        <f>VLOOKUP(D147,[1]apoio_Preços_MGS!$A$6:$AN$238,40,FALSE)</f>
        <v>548.41999999999996</v>
      </c>
      <c r="AP147" s="44">
        <f>IF(J147="demais municípios",VLOOKUP(D147,[1]apoio_Preços_MGS!$A$6:$AN$238,40,FALSE),0)</f>
        <v>548.41999999999996</v>
      </c>
      <c r="AQ147" s="44">
        <v>0</v>
      </c>
      <c r="AR147" s="45">
        <f t="shared" si="67"/>
        <v>1096.8399999999999</v>
      </c>
      <c r="AS147" s="45">
        <f t="shared" si="60"/>
        <v>1496.84</v>
      </c>
      <c r="AT147" s="45">
        <f t="shared" si="63"/>
        <v>89810.4</v>
      </c>
      <c r="AU147" s="62"/>
      <c r="AV147" s="46"/>
      <c r="AW147" s="47"/>
      <c r="AX147" s="48"/>
      <c r="AY147" s="49"/>
      <c r="BA147" s="48"/>
    </row>
    <row r="148" spans="1:53" ht="19.5" customHeight="1" x14ac:dyDescent="0.25">
      <c r="A148" s="33" t="str">
        <f t="shared" si="58"/>
        <v>106070440,05</v>
      </c>
      <c r="B148" s="33" t="str">
        <f t="shared" si="59"/>
        <v>2800,05</v>
      </c>
      <c r="C148" s="34" t="str">
        <f>VLOOKUP(D148,[1]apoio_Preços_MGS!$A$6:$B$238,2,FALSE)</f>
        <v>AUXILIAR DE LIMPEZA</v>
      </c>
      <c r="D148" s="35">
        <v>280</v>
      </c>
      <c r="E148" s="33" t="str">
        <f>VLOOKUP(D148,[1]apoio_Preços_MGS!$A$6:$F$238,6,FALSE)</f>
        <v>AUXILIAR DE LIMPEZA - 12x36 NOTURNO - 44H</v>
      </c>
      <c r="F148" s="36">
        <f>IFERROR(VLOOKUP(D148,'[1]apoio_cód catmas'!$B$2:$C$863,2,FALSE),0)</f>
        <v>106070</v>
      </c>
      <c r="G148" s="33" t="str">
        <f>IF(H148="N/A",VLOOKUP(F148&amp;40,'[1]apoio_cód catmas'!$A$1:$G$233,4,FALSE),VLOOKUP(F148&amp;H148,'[1]apoio_cód catmas'!$A$1:$G$233,4,FALSE))</f>
        <v>AUXILIAR DE LIMPEZA - 12X36 NOTURNO - 44H</v>
      </c>
      <c r="H148" s="36">
        <v>44</v>
      </c>
      <c r="I148" s="37">
        <v>0.05</v>
      </c>
      <c r="J148" s="38" t="s">
        <v>46</v>
      </c>
      <c r="K148" s="39">
        <f>211-K149</f>
        <v>6</v>
      </c>
      <c r="L148" s="39">
        <f t="shared" si="42"/>
        <v>360</v>
      </c>
      <c r="M148" s="40">
        <f>VLOOKUP(D148,[1]apoio_Preços_MGS!$A$6:$AN$238,18,FALSE)</f>
        <v>1794.7362817701783</v>
      </c>
      <c r="N148" s="40">
        <f>VLOOKUP(D148,[1]apoio_Preços_MGS!$A$6:$AN$238,19,FALSE)</f>
        <v>0</v>
      </c>
      <c r="O148" s="40">
        <f>VLOOKUP(D148,[1]apoio_Preços_MGS!$A$6:$AN$238,20,FALSE)</f>
        <v>418.10079159950112</v>
      </c>
      <c r="P148" s="40">
        <f>VLOOKUP(D148,[1]apoio_Preços_MGS!$A$6:$AN$238,21,FALSE)</f>
        <v>9.1264983788791074</v>
      </c>
      <c r="Q148" s="40">
        <f>VLOOKUP(D148,[1]apoio_Preços_MGS!$A$6:$AN$238,22,FALSE)</f>
        <v>34.224358653485965</v>
      </c>
      <c r="R148" s="40">
        <f>VLOOKUP(D148,[1]apoio_Preços_MGS!$A$6:$AN$238,23,FALSE)</f>
        <v>0</v>
      </c>
      <c r="S148" s="40">
        <f>VLOOKUP(D148,[1]apoio_Preços_MGS!$A$6:$AN$238,24,FALSE)</f>
        <v>0</v>
      </c>
      <c r="T148" s="40">
        <f>VLOOKUP(D148,[1]apoio_Preços_MGS!$A$6:$AN$238,25,FALSE)</f>
        <v>2.4926892802363585</v>
      </c>
      <c r="U148" s="40">
        <f t="shared" si="43"/>
        <v>2258.6806196822808</v>
      </c>
      <c r="V148" s="41">
        <v>0.81799999999999995</v>
      </c>
      <c r="W148" s="40">
        <f t="shared" si="44"/>
        <v>1847.6007469001056</v>
      </c>
      <c r="X148" s="40">
        <f>VLOOKUP(D148,[1]apoio_Preços_MGS!$A$6:$AN$238,29,FALSE)</f>
        <v>26.905000000000001</v>
      </c>
      <c r="Y148" s="40">
        <f>VLOOKUP(D148,[1]apoio_Preços_MGS!$A$6:$AN$238,30,FALSE)</f>
        <v>43.982906556598273</v>
      </c>
      <c r="Z148" s="40">
        <f t="shared" si="45"/>
        <v>70.887906556598267</v>
      </c>
      <c r="AA148" s="40">
        <f>VLOOKUP(D148,[1]apoio_Preços_MGS!$A$6:$AN$238,32,FALSE)</f>
        <v>3.4458936609987418</v>
      </c>
      <c r="AB148" s="40">
        <f>VLOOKUP(D148,[1]apoio_Preços_MGS!$A$6:$AN$238,33,FALSE)</f>
        <v>208.70493990461293</v>
      </c>
      <c r="AC148" s="41">
        <f>VLOOKUP(D148,[1]apoio_Preços_MGS!$A$6:$AN$238,34,FALSE)</f>
        <v>3.4323193950865784E-2</v>
      </c>
      <c r="AD148" s="40">
        <f>(U148+W148+Z148+AB148+AA148+VLOOKUP(C148,[1]apoio_Prec_Folha!$A:$S,7,FALSE))*AC148</f>
        <v>169.47903700829235</v>
      </c>
      <c r="AE148" s="42">
        <f>VLOOKUP(D148,[1]apoio_Preços_MGS!$A$6:$AN$238,36,FALSE)</f>
        <v>7.0000000000000007E-2</v>
      </c>
      <c r="AF148" s="40">
        <f>(U148+W148+Z148+AB148+AD148+AA148+VLOOKUP(C148,[1]apoio_Prec_Folha!$A:$S,7,FALSE))*AE148</f>
        <v>357.50539236514885</v>
      </c>
      <c r="AG148" s="40">
        <f t="shared" si="46"/>
        <v>4916.3</v>
      </c>
      <c r="AH148" s="43">
        <f t="shared" si="47"/>
        <v>5733.29</v>
      </c>
      <c r="AI148" s="43">
        <f t="shared" si="48"/>
        <v>34399.74</v>
      </c>
      <c r="AJ148" s="43">
        <f t="shared" si="49"/>
        <v>2063984.4</v>
      </c>
      <c r="AK148" s="44">
        <f>VLOOKUP(D148,[1]apoio_Preços_MGS!$A$6:$AN$238,39,FALSE)</f>
        <v>200.00000000000003</v>
      </c>
      <c r="AL148" s="44">
        <f>IF(J148="demais municípios",VLOOKUP(D148,[1]apoio_Preços_MGS!$A$6:$AN$238,39,FALSE),0)</f>
        <v>200.00000000000003</v>
      </c>
      <c r="AM148" s="44">
        <v>0</v>
      </c>
      <c r="AN148" s="45">
        <f t="shared" si="66"/>
        <v>1200.0000000000002</v>
      </c>
      <c r="AO148" s="44">
        <f>VLOOKUP(D148,[1]apoio_Preços_MGS!$A$6:$AN$238,40,FALSE)</f>
        <v>548.41999999999996</v>
      </c>
      <c r="AP148" s="44">
        <f>IF(J148="demais municípios",VLOOKUP(D148,[1]apoio_Preços_MGS!$A$6:$AN$238,40,FALSE),0)</f>
        <v>548.41999999999996</v>
      </c>
      <c r="AQ148" s="44">
        <v>0</v>
      </c>
      <c r="AR148" s="45">
        <f t="shared" si="67"/>
        <v>3290.5199999999995</v>
      </c>
      <c r="AS148" s="45">
        <f t="shared" si="60"/>
        <v>4490.5199999999995</v>
      </c>
      <c r="AT148" s="45">
        <f t="shared" si="63"/>
        <v>269431.19999999995</v>
      </c>
      <c r="AU148" s="62"/>
      <c r="AV148" s="46"/>
      <c r="AW148" s="47"/>
      <c r="AX148" s="48"/>
      <c r="AY148" s="49"/>
      <c r="BA148" s="48"/>
    </row>
    <row r="149" spans="1:53" ht="19.5" customHeight="1" x14ac:dyDescent="0.25">
      <c r="A149" s="33" t="str">
        <f t="shared" si="58"/>
        <v>106070440,05</v>
      </c>
      <c r="B149" s="33" t="str">
        <f t="shared" si="59"/>
        <v>2800,05</v>
      </c>
      <c r="C149" s="34" t="str">
        <f>VLOOKUP(D149,[1]apoio_Preços_MGS!$A$6:$B$238,2,FALSE)</f>
        <v>AUXILIAR DE LIMPEZA</v>
      </c>
      <c r="D149" s="35">
        <v>280</v>
      </c>
      <c r="E149" s="33" t="str">
        <f>VLOOKUP(D149,[1]apoio_Preços_MGS!$A$6:$F$238,6,FALSE)</f>
        <v>AUXILIAR DE LIMPEZA - 12x36 NOTURNO - 44H</v>
      </c>
      <c r="F149" s="36">
        <f>IFERROR(VLOOKUP(D149,'[1]apoio_cód catmas'!$B$2:$C$863,2,FALSE),0)</f>
        <v>106070</v>
      </c>
      <c r="G149" s="33" t="str">
        <f>IF(H149="N/A",VLOOKUP(F149&amp;40,'[1]apoio_cód catmas'!$A$1:$G$233,4,FALSE),VLOOKUP(F149&amp;H149,'[1]apoio_cód catmas'!$A$1:$G$233,4,FALSE))</f>
        <v>AUXILIAR DE LIMPEZA - 12X36 NOTURNO - 44H</v>
      </c>
      <c r="H149" s="36">
        <v>44</v>
      </c>
      <c r="I149" s="37">
        <v>0.05</v>
      </c>
      <c r="J149" s="38" t="s">
        <v>47</v>
      </c>
      <c r="K149" s="39">
        <v>205</v>
      </c>
      <c r="L149" s="39">
        <f t="shared" si="42"/>
        <v>12300</v>
      </c>
      <c r="M149" s="40">
        <f>VLOOKUP(D149,[1]apoio_Preços_MGS!$A$6:$AN$238,18,FALSE)</f>
        <v>1794.7362817701783</v>
      </c>
      <c r="N149" s="40">
        <f>VLOOKUP(D149,[1]apoio_Preços_MGS!$A$6:$AN$238,19,FALSE)</f>
        <v>0</v>
      </c>
      <c r="O149" s="40">
        <f>VLOOKUP(D149,[1]apoio_Preços_MGS!$A$6:$AN$238,20,FALSE)</f>
        <v>418.10079159950112</v>
      </c>
      <c r="P149" s="40">
        <f>VLOOKUP(D149,[1]apoio_Preços_MGS!$A$6:$AN$238,21,FALSE)</f>
        <v>9.1264983788791074</v>
      </c>
      <c r="Q149" s="40">
        <f>VLOOKUP(D149,[1]apoio_Preços_MGS!$A$6:$AN$238,22,FALSE)</f>
        <v>34.224358653485965</v>
      </c>
      <c r="R149" s="40">
        <f>VLOOKUP(D149,[1]apoio_Preços_MGS!$A$6:$AN$238,23,FALSE)</f>
        <v>0</v>
      </c>
      <c r="S149" s="40">
        <f>VLOOKUP(D149,[1]apoio_Preços_MGS!$A$6:$AN$238,24,FALSE)</f>
        <v>0</v>
      </c>
      <c r="T149" s="40">
        <f>VLOOKUP(D149,[1]apoio_Preços_MGS!$A$6:$AN$238,25,FALSE)</f>
        <v>2.4926892802363585</v>
      </c>
      <c r="U149" s="40">
        <f t="shared" si="43"/>
        <v>2258.6806196822808</v>
      </c>
      <c r="V149" s="41">
        <v>0.81799999999999995</v>
      </c>
      <c r="W149" s="40">
        <f t="shared" si="44"/>
        <v>1847.6007469001056</v>
      </c>
      <c r="X149" s="40">
        <f>VLOOKUP(D149,[1]apoio_Preços_MGS!$A$6:$AN$238,29,FALSE)</f>
        <v>26.905000000000001</v>
      </c>
      <c r="Y149" s="40">
        <f>VLOOKUP(D149,[1]apoio_Preços_MGS!$A$6:$AN$238,30,FALSE)</f>
        <v>43.982906556598273</v>
      </c>
      <c r="Z149" s="40">
        <f t="shared" si="45"/>
        <v>70.887906556598267</v>
      </c>
      <c r="AA149" s="40">
        <f>VLOOKUP(D149,[1]apoio_Preços_MGS!$A$6:$AN$238,32,FALSE)</f>
        <v>3.4458936609987418</v>
      </c>
      <c r="AB149" s="40">
        <f>VLOOKUP(D149,[1]apoio_Preços_MGS!$A$6:$AN$238,33,FALSE)</f>
        <v>208.70493990461293</v>
      </c>
      <c r="AC149" s="41">
        <f>VLOOKUP(D149,[1]apoio_Preços_MGS!$A$6:$AN$238,34,FALSE)</f>
        <v>3.4323193950865784E-2</v>
      </c>
      <c r="AD149" s="40">
        <f>(U149+W149+Z149+AB149+AA149+VLOOKUP(C149,[1]apoio_Prec_Folha!$A:$S,7,FALSE))*AC149</f>
        <v>169.47903700829235</v>
      </c>
      <c r="AE149" s="42">
        <f>VLOOKUP(D149,[1]apoio_Preços_MGS!$A$6:$AN$238,36,FALSE)</f>
        <v>7.0000000000000007E-2</v>
      </c>
      <c r="AF149" s="40">
        <f>(U149+W149+Z149+AB149+AD149+AA149+VLOOKUP(C149,[1]apoio_Prec_Folha!$A:$S,7,FALSE))*AE149</f>
        <v>357.50539236514885</v>
      </c>
      <c r="AG149" s="40">
        <f t="shared" si="46"/>
        <v>4916.3</v>
      </c>
      <c r="AH149" s="43">
        <f t="shared" si="47"/>
        <v>5733.29</v>
      </c>
      <c r="AI149" s="43">
        <f t="shared" si="48"/>
        <v>1175324.45</v>
      </c>
      <c r="AJ149" s="43">
        <f t="shared" si="49"/>
        <v>70519467</v>
      </c>
      <c r="AK149" s="44">
        <f>VLOOKUP(D149,[1]apoio_Preços_MGS!$A$6:$AN$238,39,FALSE)</f>
        <v>200.00000000000003</v>
      </c>
      <c r="AL149" s="44">
        <f>IF(J149="demais municípios",VLOOKUP(D149,[1]apoio_Preços_MGS!$A$6:$AN$238,39,FALSE),0)</f>
        <v>0</v>
      </c>
      <c r="AM149" s="44">
        <f>TRUNC(ROUND(($I149)/(1-($I149)),5)*VLOOKUP(D149,[1]apoio_Preços_MGS!$A$6:$AN$238,39,FALSE)+VLOOKUP(D149,[1]apoio_Preços_MGS!$A$6:$AN$238,39,FALSE),2)</f>
        <v>210.52</v>
      </c>
      <c r="AN149" s="45">
        <f t="shared" si="61"/>
        <v>43156.6</v>
      </c>
      <c r="AO149" s="44">
        <f>VLOOKUP(D149,[1]apoio_Preços_MGS!$A$6:$AN$238,40,FALSE)</f>
        <v>548.41999999999996</v>
      </c>
      <c r="AP149" s="44">
        <f>IF(J149="demais municípios",VLOOKUP(D149,[1]apoio_Preços_MGS!$A$6:$AN$238,40,FALSE),0)</f>
        <v>0</v>
      </c>
      <c r="AQ149" s="44">
        <f>TRUNC(ROUND(($I149)/(1-($I149)),5)*VLOOKUP(D149,[1]apoio_Preços_MGS!$A$6:$AN$238,40,FALSE)+VLOOKUP(D149,[1]apoio_Preços_MGS!$A$6:$AN$238,40,FALSE),2)</f>
        <v>577.28</v>
      </c>
      <c r="AR149" s="45">
        <f t="shared" si="62"/>
        <v>118342.39999999999</v>
      </c>
      <c r="AS149" s="45">
        <f t="shared" si="60"/>
        <v>161499</v>
      </c>
      <c r="AT149" s="45">
        <f t="shared" si="63"/>
        <v>9689940</v>
      </c>
      <c r="AU149" s="62"/>
      <c r="AV149" s="46"/>
      <c r="AW149" s="47"/>
      <c r="AX149" s="48"/>
      <c r="AY149" s="49"/>
      <c r="BA149" s="48"/>
    </row>
    <row r="150" spans="1:53" ht="19.5" customHeight="1" x14ac:dyDescent="0.25">
      <c r="A150" s="33" t="str">
        <f t="shared" si="58"/>
        <v>106089220,02</v>
      </c>
      <c r="B150" s="33" t="str">
        <f t="shared" si="59"/>
        <v>2750,02</v>
      </c>
      <c r="C150" s="34" t="str">
        <f>VLOOKUP(D150,[1]apoio_Preços_MGS!$A$6:$B$238,2,FALSE)</f>
        <v>AUXILIAR DE LIMPEZA</v>
      </c>
      <c r="D150" s="35">
        <v>275</v>
      </c>
      <c r="E150" s="33" t="str">
        <f>VLOOKUP(D150,[1]apoio_Preços_MGS!$A$6:$F$238,6,FALSE)</f>
        <v>AUXILIAR DE LIMPEZA - DIARISTA DIURNO - 22H</v>
      </c>
      <c r="F150" s="36">
        <f>IFERROR(VLOOKUP(D150,'[1]apoio_cód catmas'!$B$2:$C$863,2,FALSE),0)</f>
        <v>106089</v>
      </c>
      <c r="G150" s="33" t="str">
        <f>IF(H150="N/A",VLOOKUP(F150&amp;40,'[1]apoio_cód catmas'!$A$1:$G$233,4,FALSE),VLOOKUP(F150&amp;H150,'[1]apoio_cód catmas'!$A$1:$G$233,4,FALSE))</f>
        <v>AUXILIAR DE LIMPEZA - 22H, 30H, 36H, 40H OU 44H</v>
      </c>
      <c r="H150" s="36">
        <v>22</v>
      </c>
      <c r="I150" s="37">
        <v>0.02</v>
      </c>
      <c r="J150" s="38" t="s">
        <v>46</v>
      </c>
      <c r="K150" s="39">
        <v>8</v>
      </c>
      <c r="L150" s="39">
        <f t="shared" si="42"/>
        <v>480</v>
      </c>
      <c r="M150" s="40">
        <f>VLOOKUP(D150,[1]apoio_Preços_MGS!$A$6:$AN$238,18,FALSE)</f>
        <v>897.36814088508913</v>
      </c>
      <c r="N150" s="40">
        <f>VLOOKUP(D150,[1]apoio_Preços_MGS!$A$6:$AN$238,19,FALSE)</f>
        <v>0</v>
      </c>
      <c r="O150" s="40">
        <f>VLOOKUP(D150,[1]apoio_Preços_MGS!$A$6:$AN$238,20,FALSE)</f>
        <v>0</v>
      </c>
      <c r="P150" s="40">
        <f>VLOOKUP(D150,[1]apoio_Preços_MGS!$A$6:$AN$238,21,FALSE)</f>
        <v>0</v>
      </c>
      <c r="Q150" s="40">
        <f>VLOOKUP(D150,[1]apoio_Preços_MGS!$A$6:$AN$238,22,FALSE)</f>
        <v>0</v>
      </c>
      <c r="R150" s="40">
        <f>VLOOKUP(D150,[1]apoio_Preços_MGS!$A$6:$AN$238,23,FALSE)</f>
        <v>0</v>
      </c>
      <c r="S150" s="40">
        <f>VLOOKUP(D150,[1]apoio_Preços_MGS!$A$6:$AN$238,24,FALSE)</f>
        <v>0</v>
      </c>
      <c r="T150" s="40">
        <f>VLOOKUP(D150,[1]apoio_Preços_MGS!$A$6:$AN$238,25,FALSE)</f>
        <v>0</v>
      </c>
      <c r="U150" s="40">
        <f t="shared" si="43"/>
        <v>897.36814088508913</v>
      </c>
      <c r="V150" s="41">
        <v>0.81799999999999995</v>
      </c>
      <c r="W150" s="40">
        <f t="shared" si="44"/>
        <v>734.04713924400289</v>
      </c>
      <c r="X150" s="40">
        <f>VLOOKUP(D150,[1]apoio_Preços_MGS!$A$6:$AN$238,29,FALSE)</f>
        <v>26.905000000000001</v>
      </c>
      <c r="Y150" s="40">
        <f>VLOOKUP(D150,[1]apoio_Preços_MGS!$A$6:$AN$238,30,FALSE)</f>
        <v>43.982906556598273</v>
      </c>
      <c r="Z150" s="40">
        <f t="shared" si="45"/>
        <v>70.887906556598267</v>
      </c>
      <c r="AA150" s="40">
        <f>VLOOKUP(D150,[1]apoio_Preços_MGS!$A$6:$AN$238,32,FALSE)</f>
        <v>1.9427625599999998</v>
      </c>
      <c r="AB150" s="40">
        <f>VLOOKUP(D150,[1]apoio_Preços_MGS!$A$6:$AN$238,33,FALSE)</f>
        <v>249.58022726550217</v>
      </c>
      <c r="AC150" s="41">
        <f>VLOOKUP(D150,[1]apoio_Preços_MGS!$A$6:$AN$238,34,FALSE)</f>
        <v>3.4323193950865784E-2</v>
      </c>
      <c r="AD150" s="40">
        <f>(U150+W150+Z150+AB150+AA150+VLOOKUP(C150,[1]apoio_Prec_Folha!$A:$S,7,FALSE))*AC150</f>
        <v>85.885106476107751</v>
      </c>
      <c r="AE150" s="42">
        <f>VLOOKUP(D150,[1]apoio_Preços_MGS!$A$6:$AN$238,36,FALSE)</f>
        <v>7.0000000000000007E-2</v>
      </c>
      <c r="AF150" s="40">
        <f>(U150+W150+Z150+AB150+AD150+AA150+VLOOKUP(C150,[1]apoio_Prec_Folha!$A:$S,7,FALSE))*AE150</f>
        <v>181.16924211435762</v>
      </c>
      <c r="AG150" s="40">
        <f t="shared" si="46"/>
        <v>2220.88</v>
      </c>
      <c r="AH150" s="43">
        <f t="shared" si="47"/>
        <v>2502.39</v>
      </c>
      <c r="AI150" s="43">
        <f t="shared" si="48"/>
        <v>20019.12</v>
      </c>
      <c r="AJ150" s="43">
        <f t="shared" si="49"/>
        <v>1201147.2</v>
      </c>
      <c r="AK150" s="44">
        <f>VLOOKUP(D150,[1]apoio_Preços_MGS!$A$6:$AN$238,39,FALSE)</f>
        <v>100.00000000000001</v>
      </c>
      <c r="AL150" s="44">
        <f>IF(J150="demais municípios",VLOOKUP(D150,[1]apoio_Preços_MGS!$A$6:$AN$238,39,FALSE),0)</f>
        <v>100.00000000000001</v>
      </c>
      <c r="AM150" s="44">
        <v>0</v>
      </c>
      <c r="AN150" s="45">
        <f t="shared" ref="AN150:AN157" si="68">AK150*K150</f>
        <v>800.00000000000011</v>
      </c>
      <c r="AO150" s="44">
        <f>VLOOKUP(D150,[1]apoio_Preços_MGS!$A$6:$AN$238,40,FALSE)</f>
        <v>548.41999999999996</v>
      </c>
      <c r="AP150" s="44">
        <f>IF(J150="demais municípios",VLOOKUP(D150,[1]apoio_Preços_MGS!$A$6:$AN$238,40,FALSE),0)</f>
        <v>548.41999999999996</v>
      </c>
      <c r="AQ150" s="44">
        <v>0</v>
      </c>
      <c r="AR150" s="45">
        <f t="shared" ref="AR150:AR157" si="69">AO150*K150</f>
        <v>4387.3599999999997</v>
      </c>
      <c r="AS150" s="45">
        <f t="shared" si="60"/>
        <v>5187.3599999999997</v>
      </c>
      <c r="AT150" s="45">
        <f t="shared" si="63"/>
        <v>311241.59999999998</v>
      </c>
      <c r="AU150" s="62"/>
      <c r="AV150" s="46"/>
      <c r="AW150" s="47"/>
      <c r="AX150" s="48"/>
      <c r="AY150" s="49"/>
      <c r="BA150" s="48"/>
    </row>
    <row r="151" spans="1:53" ht="19.5" customHeight="1" x14ac:dyDescent="0.25">
      <c r="A151" s="33" t="str">
        <f t="shared" si="58"/>
        <v>106089220,025</v>
      </c>
      <c r="B151" s="33" t="str">
        <f t="shared" si="59"/>
        <v>2750,025</v>
      </c>
      <c r="C151" s="34" t="str">
        <f>VLOOKUP(D151,[1]apoio_Preços_MGS!$A$6:$B$238,2,FALSE)</f>
        <v>AUXILIAR DE LIMPEZA</v>
      </c>
      <c r="D151" s="35">
        <v>275</v>
      </c>
      <c r="E151" s="33" t="str">
        <f>VLOOKUP(D151,[1]apoio_Preços_MGS!$A$6:$F$238,6,FALSE)</f>
        <v>AUXILIAR DE LIMPEZA - DIARISTA DIURNO - 22H</v>
      </c>
      <c r="F151" s="36">
        <f>IFERROR(VLOOKUP(D151,'[1]apoio_cód catmas'!$B$2:$C$863,2,FALSE),0)</f>
        <v>106089</v>
      </c>
      <c r="G151" s="33" t="str">
        <f>IF(H151="N/A",VLOOKUP(F151&amp;40,'[1]apoio_cód catmas'!$A$1:$G$233,4,FALSE),VLOOKUP(F151&amp;H151,'[1]apoio_cód catmas'!$A$1:$G$233,4,FALSE))</f>
        <v>AUXILIAR DE LIMPEZA - 22H, 30H, 36H, 40H OU 44H</v>
      </c>
      <c r="H151" s="36">
        <v>22</v>
      </c>
      <c r="I151" s="37">
        <v>2.5000000000000001E-2</v>
      </c>
      <c r="J151" s="38" t="s">
        <v>46</v>
      </c>
      <c r="K151" s="39">
        <v>1</v>
      </c>
      <c r="L151" s="39">
        <f t="shared" si="42"/>
        <v>60</v>
      </c>
      <c r="M151" s="40">
        <f>VLOOKUP(D151,[1]apoio_Preços_MGS!$A$6:$AN$238,18,FALSE)</f>
        <v>897.36814088508913</v>
      </c>
      <c r="N151" s="40">
        <f>VLOOKUP(D151,[1]apoio_Preços_MGS!$A$6:$AN$238,19,FALSE)</f>
        <v>0</v>
      </c>
      <c r="O151" s="40">
        <f>VLOOKUP(D151,[1]apoio_Preços_MGS!$A$6:$AN$238,20,FALSE)</f>
        <v>0</v>
      </c>
      <c r="P151" s="40">
        <f>VLOOKUP(D151,[1]apoio_Preços_MGS!$A$6:$AN$238,21,FALSE)</f>
        <v>0</v>
      </c>
      <c r="Q151" s="40">
        <f>VLOOKUP(D151,[1]apoio_Preços_MGS!$A$6:$AN$238,22,FALSE)</f>
        <v>0</v>
      </c>
      <c r="R151" s="40">
        <f>VLOOKUP(D151,[1]apoio_Preços_MGS!$A$6:$AN$238,23,FALSE)</f>
        <v>0</v>
      </c>
      <c r="S151" s="40">
        <f>VLOOKUP(D151,[1]apoio_Preços_MGS!$A$6:$AN$238,24,FALSE)</f>
        <v>0</v>
      </c>
      <c r="T151" s="40">
        <f>VLOOKUP(D151,[1]apoio_Preços_MGS!$A$6:$AN$238,25,FALSE)</f>
        <v>0</v>
      </c>
      <c r="U151" s="40">
        <f t="shared" si="43"/>
        <v>897.36814088508913</v>
      </c>
      <c r="V151" s="41">
        <v>0.81799999999999995</v>
      </c>
      <c r="W151" s="40">
        <f t="shared" si="44"/>
        <v>734.04713924400289</v>
      </c>
      <c r="X151" s="40">
        <f>VLOOKUP(D151,[1]apoio_Preços_MGS!$A$6:$AN$238,29,FALSE)</f>
        <v>26.905000000000001</v>
      </c>
      <c r="Y151" s="40">
        <f>VLOOKUP(D151,[1]apoio_Preços_MGS!$A$6:$AN$238,30,FALSE)</f>
        <v>43.982906556598273</v>
      </c>
      <c r="Z151" s="40">
        <f t="shared" si="45"/>
        <v>70.887906556598267</v>
      </c>
      <c r="AA151" s="40">
        <f>VLOOKUP(D151,[1]apoio_Preços_MGS!$A$6:$AN$238,32,FALSE)</f>
        <v>1.9427625599999998</v>
      </c>
      <c r="AB151" s="40">
        <f>VLOOKUP(D151,[1]apoio_Preços_MGS!$A$6:$AN$238,33,FALSE)</f>
        <v>249.58022726550217</v>
      </c>
      <c r="AC151" s="41">
        <f>VLOOKUP(D151,[1]apoio_Preços_MGS!$A$6:$AN$238,34,FALSE)</f>
        <v>3.4323193950865784E-2</v>
      </c>
      <c r="AD151" s="40">
        <f>(U151+W151+Z151+AB151+AA151+VLOOKUP(C151,[1]apoio_Prec_Folha!$A:$S,7,FALSE))*AC151</f>
        <v>85.885106476107751</v>
      </c>
      <c r="AE151" s="42">
        <f>VLOOKUP(D151,[1]apoio_Preços_MGS!$A$6:$AN$238,36,FALSE)</f>
        <v>7.0000000000000007E-2</v>
      </c>
      <c r="AF151" s="40">
        <f>(U151+W151+Z151+AB151+AD151+AA151+VLOOKUP(C151,[1]apoio_Prec_Folha!$A:$S,7,FALSE))*AE151</f>
        <v>181.16924211435762</v>
      </c>
      <c r="AG151" s="40">
        <f t="shared" si="46"/>
        <v>2220.88</v>
      </c>
      <c r="AH151" s="43">
        <f t="shared" si="47"/>
        <v>2516.56</v>
      </c>
      <c r="AI151" s="43">
        <f t="shared" si="48"/>
        <v>2516.56</v>
      </c>
      <c r="AJ151" s="43">
        <f t="shared" si="49"/>
        <v>150993.60000000001</v>
      </c>
      <c r="AK151" s="44">
        <f>VLOOKUP(D151,[1]apoio_Preços_MGS!$A$6:$AN$238,39,FALSE)</f>
        <v>100.00000000000001</v>
      </c>
      <c r="AL151" s="44">
        <f>IF(J151="demais municípios",VLOOKUP(D151,[1]apoio_Preços_MGS!$A$6:$AN$238,39,FALSE),0)</f>
        <v>100.00000000000001</v>
      </c>
      <c r="AM151" s="44">
        <v>0</v>
      </c>
      <c r="AN151" s="45">
        <f t="shared" si="68"/>
        <v>100.00000000000001</v>
      </c>
      <c r="AO151" s="44">
        <f>VLOOKUP(D151,[1]apoio_Preços_MGS!$A$6:$AN$238,40,FALSE)</f>
        <v>548.41999999999996</v>
      </c>
      <c r="AP151" s="44">
        <f>IF(J151="demais municípios",VLOOKUP(D151,[1]apoio_Preços_MGS!$A$6:$AN$238,40,FALSE),0)</f>
        <v>548.41999999999996</v>
      </c>
      <c r="AQ151" s="44">
        <v>0</v>
      </c>
      <c r="AR151" s="45">
        <f t="shared" si="69"/>
        <v>548.41999999999996</v>
      </c>
      <c r="AS151" s="45">
        <f t="shared" si="60"/>
        <v>648.41999999999996</v>
      </c>
      <c r="AT151" s="45">
        <f t="shared" si="63"/>
        <v>38905.199999999997</v>
      </c>
      <c r="AU151" s="62"/>
      <c r="AV151" s="46"/>
      <c r="AW151" s="47"/>
      <c r="AX151" s="48"/>
      <c r="AY151" s="49"/>
      <c r="BA151" s="48"/>
    </row>
    <row r="152" spans="1:53" ht="19.5" customHeight="1" x14ac:dyDescent="0.25">
      <c r="A152" s="33" t="str">
        <f t="shared" si="58"/>
        <v>106089220,03</v>
      </c>
      <c r="B152" s="33" t="str">
        <f t="shared" si="59"/>
        <v>2750,03</v>
      </c>
      <c r="C152" s="34" t="str">
        <f>VLOOKUP(D152,[1]apoio_Preços_MGS!$A$6:$B$238,2,FALSE)</f>
        <v>AUXILIAR DE LIMPEZA</v>
      </c>
      <c r="D152" s="35">
        <v>275</v>
      </c>
      <c r="E152" s="33" t="str">
        <f>VLOOKUP(D152,[1]apoio_Preços_MGS!$A$6:$F$238,6,FALSE)</f>
        <v>AUXILIAR DE LIMPEZA - DIARISTA DIURNO - 22H</v>
      </c>
      <c r="F152" s="36">
        <f>IFERROR(VLOOKUP(D152,'[1]apoio_cód catmas'!$B$2:$C$863,2,FALSE),0)</f>
        <v>106089</v>
      </c>
      <c r="G152" s="33" t="str">
        <f>IF(H152="N/A",VLOOKUP(F152&amp;40,'[1]apoio_cód catmas'!$A$1:$G$233,4,FALSE),VLOOKUP(F152&amp;H152,'[1]apoio_cód catmas'!$A$1:$G$233,4,FALSE))</f>
        <v>AUXILIAR DE LIMPEZA - 22H, 30H, 36H, 40H OU 44H</v>
      </c>
      <c r="H152" s="36">
        <v>22</v>
      </c>
      <c r="I152" s="37">
        <v>0.03</v>
      </c>
      <c r="J152" s="38" t="s">
        <v>46</v>
      </c>
      <c r="K152" s="39">
        <f>12-1</f>
        <v>11</v>
      </c>
      <c r="L152" s="39">
        <f t="shared" si="42"/>
        <v>660</v>
      </c>
      <c r="M152" s="40">
        <f>VLOOKUP(D152,[1]apoio_Preços_MGS!$A$6:$AN$238,18,FALSE)</f>
        <v>897.36814088508913</v>
      </c>
      <c r="N152" s="40">
        <f>VLOOKUP(D152,[1]apoio_Preços_MGS!$A$6:$AN$238,19,FALSE)</f>
        <v>0</v>
      </c>
      <c r="O152" s="40">
        <f>VLOOKUP(D152,[1]apoio_Preços_MGS!$A$6:$AN$238,20,FALSE)</f>
        <v>0</v>
      </c>
      <c r="P152" s="40">
        <f>VLOOKUP(D152,[1]apoio_Preços_MGS!$A$6:$AN$238,21,FALSE)</f>
        <v>0</v>
      </c>
      <c r="Q152" s="40">
        <f>VLOOKUP(D152,[1]apoio_Preços_MGS!$A$6:$AN$238,22,FALSE)</f>
        <v>0</v>
      </c>
      <c r="R152" s="40">
        <f>VLOOKUP(D152,[1]apoio_Preços_MGS!$A$6:$AN$238,23,FALSE)</f>
        <v>0</v>
      </c>
      <c r="S152" s="40">
        <f>VLOOKUP(D152,[1]apoio_Preços_MGS!$A$6:$AN$238,24,FALSE)</f>
        <v>0</v>
      </c>
      <c r="T152" s="40">
        <f>VLOOKUP(D152,[1]apoio_Preços_MGS!$A$6:$AN$238,25,FALSE)</f>
        <v>0</v>
      </c>
      <c r="U152" s="40">
        <f t="shared" si="43"/>
        <v>897.36814088508913</v>
      </c>
      <c r="V152" s="41">
        <v>0.81799999999999995</v>
      </c>
      <c r="W152" s="40">
        <f t="shared" si="44"/>
        <v>734.04713924400289</v>
      </c>
      <c r="X152" s="40">
        <f>VLOOKUP(D152,[1]apoio_Preços_MGS!$A$6:$AN$238,29,FALSE)</f>
        <v>26.905000000000001</v>
      </c>
      <c r="Y152" s="40">
        <f>VLOOKUP(D152,[1]apoio_Preços_MGS!$A$6:$AN$238,30,FALSE)</f>
        <v>43.982906556598273</v>
      </c>
      <c r="Z152" s="40">
        <f t="shared" si="45"/>
        <v>70.887906556598267</v>
      </c>
      <c r="AA152" s="40">
        <f>VLOOKUP(D152,[1]apoio_Preços_MGS!$A$6:$AN$238,32,FALSE)</f>
        <v>1.9427625599999998</v>
      </c>
      <c r="AB152" s="40">
        <f>VLOOKUP(D152,[1]apoio_Preços_MGS!$A$6:$AN$238,33,FALSE)</f>
        <v>249.58022726550217</v>
      </c>
      <c r="AC152" s="41">
        <f>VLOOKUP(D152,[1]apoio_Preços_MGS!$A$6:$AN$238,34,FALSE)</f>
        <v>3.4323193950865784E-2</v>
      </c>
      <c r="AD152" s="40">
        <f>(U152+W152+Z152+AB152+AA152+VLOOKUP(C152,[1]apoio_Prec_Folha!$A:$S,7,FALSE))*AC152</f>
        <v>85.885106476107751</v>
      </c>
      <c r="AE152" s="42">
        <f>VLOOKUP(D152,[1]apoio_Preços_MGS!$A$6:$AN$238,36,FALSE)</f>
        <v>7.0000000000000007E-2</v>
      </c>
      <c r="AF152" s="40">
        <f>(U152+W152+Z152+AB152+AD152+AA152+VLOOKUP(C152,[1]apoio_Prec_Folha!$A:$S,7,FALSE))*AE152</f>
        <v>181.16924211435762</v>
      </c>
      <c r="AG152" s="40">
        <f t="shared" si="46"/>
        <v>2220.88</v>
      </c>
      <c r="AH152" s="43">
        <f t="shared" si="47"/>
        <v>2530.91</v>
      </c>
      <c r="AI152" s="43">
        <f t="shared" si="48"/>
        <v>27840.01</v>
      </c>
      <c r="AJ152" s="43">
        <f t="shared" si="49"/>
        <v>1670400.5999999999</v>
      </c>
      <c r="AK152" s="44">
        <f>VLOOKUP(D152,[1]apoio_Preços_MGS!$A$6:$AN$238,39,FALSE)</f>
        <v>100.00000000000001</v>
      </c>
      <c r="AL152" s="44">
        <f>IF(J152="demais municípios",VLOOKUP(D152,[1]apoio_Preços_MGS!$A$6:$AN$238,39,FALSE),0)</f>
        <v>100.00000000000001</v>
      </c>
      <c r="AM152" s="44">
        <v>0</v>
      </c>
      <c r="AN152" s="45">
        <f t="shared" si="68"/>
        <v>1100.0000000000002</v>
      </c>
      <c r="AO152" s="44">
        <f>VLOOKUP(D152,[1]apoio_Preços_MGS!$A$6:$AN$238,40,FALSE)</f>
        <v>548.41999999999996</v>
      </c>
      <c r="AP152" s="44">
        <f>IF(J152="demais municípios",VLOOKUP(D152,[1]apoio_Preços_MGS!$A$6:$AN$238,40,FALSE),0)</f>
        <v>548.41999999999996</v>
      </c>
      <c r="AQ152" s="44">
        <v>0</v>
      </c>
      <c r="AR152" s="45">
        <f t="shared" si="69"/>
        <v>6032.62</v>
      </c>
      <c r="AS152" s="45">
        <f t="shared" si="60"/>
        <v>7132.62</v>
      </c>
      <c r="AT152" s="45">
        <f t="shared" si="63"/>
        <v>427957.2</v>
      </c>
      <c r="AU152" s="62"/>
      <c r="AV152" s="46"/>
      <c r="AW152" s="47"/>
      <c r="AX152" s="48"/>
      <c r="AY152" s="49"/>
      <c r="BA152" s="48"/>
    </row>
    <row r="153" spans="1:53" ht="19.5" customHeight="1" x14ac:dyDescent="0.25">
      <c r="A153" s="33" t="str">
        <f t="shared" si="58"/>
        <v>106089220,035</v>
      </c>
      <c r="B153" s="33" t="str">
        <f t="shared" si="59"/>
        <v>2750,035</v>
      </c>
      <c r="C153" s="34" t="str">
        <f>VLOOKUP(D153,[1]apoio_Preços_MGS!$A$6:$B$238,2,FALSE)</f>
        <v>AUXILIAR DE LIMPEZA</v>
      </c>
      <c r="D153" s="35">
        <v>275</v>
      </c>
      <c r="E153" s="33" t="str">
        <f>VLOOKUP(D153,[1]apoio_Preços_MGS!$A$6:$F$238,6,FALSE)</f>
        <v>AUXILIAR DE LIMPEZA - DIARISTA DIURNO - 22H</v>
      </c>
      <c r="F153" s="36">
        <f>IFERROR(VLOOKUP(D153,'[1]apoio_cód catmas'!$B$2:$C$863,2,FALSE),0)</f>
        <v>106089</v>
      </c>
      <c r="G153" s="33" t="str">
        <f>IF(H153="N/A",VLOOKUP(F153&amp;40,'[1]apoio_cód catmas'!$A$1:$G$233,4,FALSE),VLOOKUP(F153&amp;H153,'[1]apoio_cód catmas'!$A$1:$G$233,4,FALSE))</f>
        <v>AUXILIAR DE LIMPEZA - 22H, 30H, 36H, 40H OU 44H</v>
      </c>
      <c r="H153" s="36">
        <v>22</v>
      </c>
      <c r="I153" s="37">
        <v>3.5000000000000003E-2</v>
      </c>
      <c r="J153" s="38" t="s">
        <v>46</v>
      </c>
      <c r="K153" s="39">
        <v>2</v>
      </c>
      <c r="L153" s="39">
        <f t="shared" si="42"/>
        <v>120</v>
      </c>
      <c r="M153" s="40">
        <f>VLOOKUP(D153,[1]apoio_Preços_MGS!$A$6:$AN$238,18,FALSE)</f>
        <v>897.36814088508913</v>
      </c>
      <c r="N153" s="40">
        <f>VLOOKUP(D153,[1]apoio_Preços_MGS!$A$6:$AN$238,19,FALSE)</f>
        <v>0</v>
      </c>
      <c r="O153" s="40">
        <f>VLOOKUP(D153,[1]apoio_Preços_MGS!$A$6:$AN$238,20,FALSE)</f>
        <v>0</v>
      </c>
      <c r="P153" s="40">
        <f>VLOOKUP(D153,[1]apoio_Preços_MGS!$A$6:$AN$238,21,FALSE)</f>
        <v>0</v>
      </c>
      <c r="Q153" s="40">
        <f>VLOOKUP(D153,[1]apoio_Preços_MGS!$A$6:$AN$238,22,FALSE)</f>
        <v>0</v>
      </c>
      <c r="R153" s="40">
        <f>VLOOKUP(D153,[1]apoio_Preços_MGS!$A$6:$AN$238,23,FALSE)</f>
        <v>0</v>
      </c>
      <c r="S153" s="40">
        <f>VLOOKUP(D153,[1]apoio_Preços_MGS!$A$6:$AN$238,24,FALSE)</f>
        <v>0</v>
      </c>
      <c r="T153" s="40">
        <f>VLOOKUP(D153,[1]apoio_Preços_MGS!$A$6:$AN$238,25,FALSE)</f>
        <v>0</v>
      </c>
      <c r="U153" s="40">
        <f t="shared" si="43"/>
        <v>897.36814088508913</v>
      </c>
      <c r="V153" s="41">
        <v>0.81799999999999995</v>
      </c>
      <c r="W153" s="40">
        <f t="shared" si="44"/>
        <v>734.04713924400289</v>
      </c>
      <c r="X153" s="40">
        <f>VLOOKUP(D153,[1]apoio_Preços_MGS!$A$6:$AN$238,29,FALSE)</f>
        <v>26.905000000000001</v>
      </c>
      <c r="Y153" s="40">
        <f>VLOOKUP(D153,[1]apoio_Preços_MGS!$A$6:$AN$238,30,FALSE)</f>
        <v>43.982906556598273</v>
      </c>
      <c r="Z153" s="40">
        <f t="shared" si="45"/>
        <v>70.887906556598267</v>
      </c>
      <c r="AA153" s="40">
        <f>VLOOKUP(D153,[1]apoio_Preços_MGS!$A$6:$AN$238,32,FALSE)</f>
        <v>1.9427625599999998</v>
      </c>
      <c r="AB153" s="40">
        <f>VLOOKUP(D153,[1]apoio_Preços_MGS!$A$6:$AN$238,33,FALSE)</f>
        <v>249.58022726550217</v>
      </c>
      <c r="AC153" s="41">
        <f>VLOOKUP(D153,[1]apoio_Preços_MGS!$A$6:$AN$238,34,FALSE)</f>
        <v>3.4323193950865784E-2</v>
      </c>
      <c r="AD153" s="40">
        <f>(U153+W153+Z153+AB153+AA153+VLOOKUP(C153,[1]apoio_Prec_Folha!$A:$S,7,FALSE))*AC153</f>
        <v>85.885106476107751</v>
      </c>
      <c r="AE153" s="42">
        <f>VLOOKUP(D153,[1]apoio_Preços_MGS!$A$6:$AN$238,36,FALSE)</f>
        <v>7.0000000000000007E-2</v>
      </c>
      <c r="AF153" s="40">
        <f>(U153+W153+Z153+AB153+AD153+AA153+VLOOKUP(C153,[1]apoio_Prec_Folha!$A:$S,7,FALSE))*AE153</f>
        <v>181.16924211435762</v>
      </c>
      <c r="AG153" s="40">
        <f t="shared" si="46"/>
        <v>2220.88</v>
      </c>
      <c r="AH153" s="43">
        <f t="shared" si="47"/>
        <v>2545.41</v>
      </c>
      <c r="AI153" s="43">
        <f t="shared" si="48"/>
        <v>5090.82</v>
      </c>
      <c r="AJ153" s="43">
        <f t="shared" si="49"/>
        <v>305449.19999999995</v>
      </c>
      <c r="AK153" s="44">
        <f>VLOOKUP(D153,[1]apoio_Preços_MGS!$A$6:$AN$238,39,FALSE)</f>
        <v>100.00000000000001</v>
      </c>
      <c r="AL153" s="44">
        <f>IF(J153="demais municípios",VLOOKUP(D153,[1]apoio_Preços_MGS!$A$6:$AN$238,39,FALSE),0)</f>
        <v>100.00000000000001</v>
      </c>
      <c r="AM153" s="44">
        <v>0</v>
      </c>
      <c r="AN153" s="45">
        <f t="shared" si="68"/>
        <v>200.00000000000003</v>
      </c>
      <c r="AO153" s="44">
        <f>VLOOKUP(D153,[1]apoio_Preços_MGS!$A$6:$AN$238,40,FALSE)</f>
        <v>548.41999999999996</v>
      </c>
      <c r="AP153" s="44">
        <f>IF(J153="demais municípios",VLOOKUP(D153,[1]apoio_Preços_MGS!$A$6:$AN$238,40,FALSE),0)</f>
        <v>548.41999999999996</v>
      </c>
      <c r="AQ153" s="44">
        <v>0</v>
      </c>
      <c r="AR153" s="45">
        <f t="shared" si="69"/>
        <v>1096.8399999999999</v>
      </c>
      <c r="AS153" s="45">
        <f t="shared" si="60"/>
        <v>1296.8399999999999</v>
      </c>
      <c r="AT153" s="45">
        <f t="shared" si="63"/>
        <v>77810.399999999994</v>
      </c>
      <c r="AU153" s="62"/>
      <c r="AV153" s="46"/>
      <c r="AW153" s="47"/>
      <c r="AX153" s="48"/>
      <c r="AY153" s="49"/>
      <c r="BA153" s="48"/>
    </row>
    <row r="154" spans="1:53" ht="19.5" customHeight="1" x14ac:dyDescent="0.25">
      <c r="A154" s="33" t="str">
        <f t="shared" si="58"/>
        <v>106089220,038</v>
      </c>
      <c r="B154" s="33" t="str">
        <f t="shared" si="59"/>
        <v>2750,038</v>
      </c>
      <c r="C154" s="34" t="str">
        <f>VLOOKUP(D154,[1]apoio_Preços_MGS!$A$6:$B$238,2,FALSE)</f>
        <v>AUXILIAR DE LIMPEZA</v>
      </c>
      <c r="D154" s="35">
        <v>275</v>
      </c>
      <c r="E154" s="33" t="str">
        <f>VLOOKUP(D154,[1]apoio_Preços_MGS!$A$6:$F$238,6,FALSE)</f>
        <v>AUXILIAR DE LIMPEZA - DIARISTA DIURNO - 22H</v>
      </c>
      <c r="F154" s="36">
        <f>IFERROR(VLOOKUP(D154,'[1]apoio_cód catmas'!$B$2:$C$863,2,FALSE),0)</f>
        <v>106089</v>
      </c>
      <c r="G154" s="33" t="str">
        <f>IF(H154="N/A",VLOOKUP(F154&amp;40,'[1]apoio_cód catmas'!$A$1:$G$233,4,FALSE),VLOOKUP(F154&amp;H154,'[1]apoio_cód catmas'!$A$1:$G$233,4,FALSE))</f>
        <v>AUXILIAR DE LIMPEZA - 22H, 30H, 36H, 40H OU 44H</v>
      </c>
      <c r="H154" s="36">
        <v>22</v>
      </c>
      <c r="I154" s="37">
        <v>3.7999999999999999E-2</v>
      </c>
      <c r="J154" s="38" t="s">
        <v>46</v>
      </c>
      <c r="K154" s="39">
        <v>2</v>
      </c>
      <c r="L154" s="39">
        <f t="shared" si="42"/>
        <v>120</v>
      </c>
      <c r="M154" s="40">
        <f>VLOOKUP(D154,[1]apoio_Preços_MGS!$A$6:$AN$238,18,FALSE)</f>
        <v>897.36814088508913</v>
      </c>
      <c r="N154" s="40">
        <f>VLOOKUP(D154,[1]apoio_Preços_MGS!$A$6:$AN$238,19,FALSE)</f>
        <v>0</v>
      </c>
      <c r="O154" s="40">
        <f>VLOOKUP(D154,[1]apoio_Preços_MGS!$A$6:$AN$238,20,FALSE)</f>
        <v>0</v>
      </c>
      <c r="P154" s="40">
        <f>VLOOKUP(D154,[1]apoio_Preços_MGS!$A$6:$AN$238,21,FALSE)</f>
        <v>0</v>
      </c>
      <c r="Q154" s="40">
        <f>VLOOKUP(D154,[1]apoio_Preços_MGS!$A$6:$AN$238,22,FALSE)</f>
        <v>0</v>
      </c>
      <c r="R154" s="40">
        <f>VLOOKUP(D154,[1]apoio_Preços_MGS!$A$6:$AN$238,23,FALSE)</f>
        <v>0</v>
      </c>
      <c r="S154" s="40">
        <f>VLOOKUP(D154,[1]apoio_Preços_MGS!$A$6:$AN$238,24,FALSE)</f>
        <v>0</v>
      </c>
      <c r="T154" s="40">
        <f>VLOOKUP(D154,[1]apoio_Preços_MGS!$A$6:$AN$238,25,FALSE)</f>
        <v>0</v>
      </c>
      <c r="U154" s="40">
        <f t="shared" si="43"/>
        <v>897.36814088508913</v>
      </c>
      <c r="V154" s="41">
        <v>0.81799999999999995</v>
      </c>
      <c r="W154" s="40">
        <f t="shared" si="44"/>
        <v>734.04713924400289</v>
      </c>
      <c r="X154" s="40">
        <f>VLOOKUP(D154,[1]apoio_Preços_MGS!$A$6:$AN$238,29,FALSE)</f>
        <v>26.905000000000001</v>
      </c>
      <c r="Y154" s="40">
        <f>VLOOKUP(D154,[1]apoio_Preços_MGS!$A$6:$AN$238,30,FALSE)</f>
        <v>43.982906556598273</v>
      </c>
      <c r="Z154" s="40">
        <f t="shared" si="45"/>
        <v>70.887906556598267</v>
      </c>
      <c r="AA154" s="40">
        <f>VLOOKUP(D154,[1]apoio_Preços_MGS!$A$6:$AN$238,32,FALSE)</f>
        <v>1.9427625599999998</v>
      </c>
      <c r="AB154" s="40">
        <f>VLOOKUP(D154,[1]apoio_Preços_MGS!$A$6:$AN$238,33,FALSE)</f>
        <v>249.58022726550217</v>
      </c>
      <c r="AC154" s="41">
        <f>VLOOKUP(D154,[1]apoio_Preços_MGS!$A$6:$AN$238,34,FALSE)</f>
        <v>3.4323193950865784E-2</v>
      </c>
      <c r="AD154" s="40">
        <f>(U154+W154+Z154+AB154+AA154+VLOOKUP(C154,[1]apoio_Prec_Folha!$A:$S,7,FALSE))*AC154</f>
        <v>85.885106476107751</v>
      </c>
      <c r="AE154" s="42">
        <f>VLOOKUP(D154,[1]apoio_Preços_MGS!$A$6:$AN$238,36,FALSE)</f>
        <v>7.0000000000000007E-2</v>
      </c>
      <c r="AF154" s="40">
        <f>(U154+W154+Z154+AB154+AD154+AA154+VLOOKUP(C154,[1]apoio_Prec_Folha!$A:$S,7,FALSE))*AE154</f>
        <v>181.16924211435762</v>
      </c>
      <c r="AG154" s="40">
        <f t="shared" si="46"/>
        <v>2220.88</v>
      </c>
      <c r="AH154" s="43">
        <f t="shared" si="47"/>
        <v>2554.21</v>
      </c>
      <c r="AI154" s="43">
        <f t="shared" si="48"/>
        <v>5108.42</v>
      </c>
      <c r="AJ154" s="43">
        <f t="shared" si="49"/>
        <v>306505.2</v>
      </c>
      <c r="AK154" s="44">
        <f>VLOOKUP(D154,[1]apoio_Preços_MGS!$A$6:$AN$238,39,FALSE)</f>
        <v>100.00000000000001</v>
      </c>
      <c r="AL154" s="44">
        <f>IF(J154="demais municípios",VLOOKUP(D154,[1]apoio_Preços_MGS!$A$6:$AN$238,39,FALSE),0)</f>
        <v>100.00000000000001</v>
      </c>
      <c r="AM154" s="44">
        <v>0</v>
      </c>
      <c r="AN154" s="45">
        <f t="shared" si="68"/>
        <v>200.00000000000003</v>
      </c>
      <c r="AO154" s="44">
        <f>VLOOKUP(D154,[1]apoio_Preços_MGS!$A$6:$AN$238,40,FALSE)</f>
        <v>548.41999999999996</v>
      </c>
      <c r="AP154" s="44">
        <f>IF(J154="demais municípios",VLOOKUP(D154,[1]apoio_Preços_MGS!$A$6:$AN$238,40,FALSE),0)</f>
        <v>548.41999999999996</v>
      </c>
      <c r="AQ154" s="44">
        <v>0</v>
      </c>
      <c r="AR154" s="45">
        <f t="shared" si="69"/>
        <v>1096.8399999999999</v>
      </c>
      <c r="AS154" s="45">
        <f t="shared" si="60"/>
        <v>1296.8399999999999</v>
      </c>
      <c r="AT154" s="45">
        <f t="shared" si="63"/>
        <v>77810.399999999994</v>
      </c>
      <c r="AU154" s="62"/>
      <c r="AV154" s="46"/>
      <c r="AW154" s="47"/>
      <c r="AX154" s="48"/>
      <c r="AY154" s="49"/>
      <c r="BA154" s="48"/>
    </row>
    <row r="155" spans="1:53" ht="19.5" customHeight="1" x14ac:dyDescent="0.25">
      <c r="A155" s="33" t="str">
        <f t="shared" si="58"/>
        <v>106089220,04</v>
      </c>
      <c r="B155" s="33" t="str">
        <f t="shared" si="59"/>
        <v>2750,04</v>
      </c>
      <c r="C155" s="34" t="str">
        <f>VLOOKUP(D155,[1]apoio_Preços_MGS!$A$6:$B$238,2,FALSE)</f>
        <v>AUXILIAR DE LIMPEZA</v>
      </c>
      <c r="D155" s="35">
        <v>275</v>
      </c>
      <c r="E155" s="33" t="str">
        <f>VLOOKUP(D155,[1]apoio_Preços_MGS!$A$6:$F$238,6,FALSE)</f>
        <v>AUXILIAR DE LIMPEZA - DIARISTA DIURNO - 22H</v>
      </c>
      <c r="F155" s="36">
        <f>IFERROR(VLOOKUP(D155,'[1]apoio_cód catmas'!$B$2:$C$863,2,FALSE),0)</f>
        <v>106089</v>
      </c>
      <c r="G155" s="33" t="str">
        <f>IF(H155="N/A",VLOOKUP(F155&amp;40,'[1]apoio_cód catmas'!$A$1:$G$233,4,FALSE),VLOOKUP(F155&amp;H155,'[1]apoio_cód catmas'!$A$1:$G$233,4,FALSE))</f>
        <v>AUXILIAR DE LIMPEZA - 22H, 30H, 36H, 40H OU 44H</v>
      </c>
      <c r="H155" s="36">
        <v>22</v>
      </c>
      <c r="I155" s="37">
        <v>0.04</v>
      </c>
      <c r="J155" s="38" t="s">
        <v>46</v>
      </c>
      <c r="K155" s="39">
        <v>6</v>
      </c>
      <c r="L155" s="39">
        <f t="shared" si="42"/>
        <v>360</v>
      </c>
      <c r="M155" s="40">
        <f>VLOOKUP(D155,[1]apoio_Preços_MGS!$A$6:$AN$238,18,FALSE)</f>
        <v>897.36814088508913</v>
      </c>
      <c r="N155" s="40">
        <f>VLOOKUP(D155,[1]apoio_Preços_MGS!$A$6:$AN$238,19,FALSE)</f>
        <v>0</v>
      </c>
      <c r="O155" s="40">
        <f>VLOOKUP(D155,[1]apoio_Preços_MGS!$A$6:$AN$238,20,FALSE)</f>
        <v>0</v>
      </c>
      <c r="P155" s="40">
        <f>VLOOKUP(D155,[1]apoio_Preços_MGS!$A$6:$AN$238,21,FALSE)</f>
        <v>0</v>
      </c>
      <c r="Q155" s="40">
        <f>VLOOKUP(D155,[1]apoio_Preços_MGS!$A$6:$AN$238,22,FALSE)</f>
        <v>0</v>
      </c>
      <c r="R155" s="40">
        <f>VLOOKUP(D155,[1]apoio_Preços_MGS!$A$6:$AN$238,23,FALSE)</f>
        <v>0</v>
      </c>
      <c r="S155" s="40">
        <f>VLOOKUP(D155,[1]apoio_Preços_MGS!$A$6:$AN$238,24,FALSE)</f>
        <v>0</v>
      </c>
      <c r="T155" s="40">
        <f>VLOOKUP(D155,[1]apoio_Preços_MGS!$A$6:$AN$238,25,FALSE)</f>
        <v>0</v>
      </c>
      <c r="U155" s="40">
        <f t="shared" si="43"/>
        <v>897.36814088508913</v>
      </c>
      <c r="V155" s="41">
        <v>0.81799999999999995</v>
      </c>
      <c r="W155" s="40">
        <f t="shared" si="44"/>
        <v>734.04713924400289</v>
      </c>
      <c r="X155" s="40">
        <f>VLOOKUP(D155,[1]apoio_Preços_MGS!$A$6:$AN$238,29,FALSE)</f>
        <v>26.905000000000001</v>
      </c>
      <c r="Y155" s="40">
        <f>VLOOKUP(D155,[1]apoio_Preços_MGS!$A$6:$AN$238,30,FALSE)</f>
        <v>43.982906556598273</v>
      </c>
      <c r="Z155" s="40">
        <f t="shared" si="45"/>
        <v>70.887906556598267</v>
      </c>
      <c r="AA155" s="40">
        <f>VLOOKUP(D155,[1]apoio_Preços_MGS!$A$6:$AN$238,32,FALSE)</f>
        <v>1.9427625599999998</v>
      </c>
      <c r="AB155" s="40">
        <f>VLOOKUP(D155,[1]apoio_Preços_MGS!$A$6:$AN$238,33,FALSE)</f>
        <v>249.58022726550217</v>
      </c>
      <c r="AC155" s="41">
        <f>VLOOKUP(D155,[1]apoio_Preços_MGS!$A$6:$AN$238,34,FALSE)</f>
        <v>3.4323193950865784E-2</v>
      </c>
      <c r="AD155" s="40">
        <f>(U155+W155+Z155+AB155+AA155+VLOOKUP(C155,[1]apoio_Prec_Folha!$A:$S,7,FALSE))*AC155</f>
        <v>85.885106476107751</v>
      </c>
      <c r="AE155" s="42">
        <f>VLOOKUP(D155,[1]apoio_Preços_MGS!$A$6:$AN$238,36,FALSE)</f>
        <v>7.0000000000000007E-2</v>
      </c>
      <c r="AF155" s="40">
        <f>(U155+W155+Z155+AB155+AD155+AA155+VLOOKUP(C155,[1]apoio_Prec_Folha!$A:$S,7,FALSE))*AE155</f>
        <v>181.16924211435762</v>
      </c>
      <c r="AG155" s="40">
        <f t="shared" si="46"/>
        <v>2220.88</v>
      </c>
      <c r="AH155" s="43">
        <f t="shared" si="47"/>
        <v>2560.09</v>
      </c>
      <c r="AI155" s="43">
        <f t="shared" si="48"/>
        <v>15360.54</v>
      </c>
      <c r="AJ155" s="43">
        <f t="shared" si="49"/>
        <v>921632.4</v>
      </c>
      <c r="AK155" s="44">
        <f>VLOOKUP(D155,[1]apoio_Preços_MGS!$A$6:$AN$238,39,FALSE)</f>
        <v>100.00000000000001</v>
      </c>
      <c r="AL155" s="44">
        <f>IF(J155="demais municípios",VLOOKUP(D155,[1]apoio_Preços_MGS!$A$6:$AN$238,39,FALSE),0)</f>
        <v>100.00000000000001</v>
      </c>
      <c r="AM155" s="44">
        <v>0</v>
      </c>
      <c r="AN155" s="45">
        <f t="shared" si="68"/>
        <v>600.00000000000011</v>
      </c>
      <c r="AO155" s="44">
        <f>VLOOKUP(D155,[1]apoio_Preços_MGS!$A$6:$AN$238,40,FALSE)</f>
        <v>548.41999999999996</v>
      </c>
      <c r="AP155" s="44">
        <f>IF(J155="demais municípios",VLOOKUP(D155,[1]apoio_Preços_MGS!$A$6:$AN$238,40,FALSE),0)</f>
        <v>548.41999999999996</v>
      </c>
      <c r="AQ155" s="44">
        <v>0</v>
      </c>
      <c r="AR155" s="45">
        <f t="shared" si="69"/>
        <v>3290.5199999999995</v>
      </c>
      <c r="AS155" s="45">
        <f t="shared" si="60"/>
        <v>3890.5199999999995</v>
      </c>
      <c r="AT155" s="45">
        <f t="shared" si="63"/>
        <v>233431.19999999998</v>
      </c>
      <c r="AU155" s="62"/>
      <c r="AV155" s="46"/>
      <c r="AW155" s="47"/>
      <c r="AX155" s="48"/>
      <c r="AY155" s="49"/>
      <c r="BA155" s="48"/>
    </row>
    <row r="156" spans="1:53" ht="19.5" customHeight="1" x14ac:dyDescent="0.25">
      <c r="A156" s="33" t="str">
        <f t="shared" si="58"/>
        <v>106089220,05</v>
      </c>
      <c r="B156" s="33" t="str">
        <f t="shared" si="59"/>
        <v>2750,05</v>
      </c>
      <c r="C156" s="34" t="str">
        <f>VLOOKUP(D156,[1]apoio_Preços_MGS!$A$6:$B$238,2,FALSE)</f>
        <v>AUXILIAR DE LIMPEZA</v>
      </c>
      <c r="D156" s="35">
        <v>275</v>
      </c>
      <c r="E156" s="33" t="str">
        <f>VLOOKUP(D156,[1]apoio_Preços_MGS!$A$6:$F$238,6,FALSE)</f>
        <v>AUXILIAR DE LIMPEZA - DIARISTA DIURNO - 22H</v>
      </c>
      <c r="F156" s="36">
        <f>IFERROR(VLOOKUP(D156,'[1]apoio_cód catmas'!$B$2:$C$863,2,FALSE),0)</f>
        <v>106089</v>
      </c>
      <c r="G156" s="33" t="str">
        <f>IF(H156="N/A",VLOOKUP(F156&amp;40,'[1]apoio_cód catmas'!$A$1:$G$233,4,FALSE),VLOOKUP(F156&amp;H156,'[1]apoio_cód catmas'!$A$1:$G$233,4,FALSE))</f>
        <v>AUXILIAR DE LIMPEZA - 22H, 30H, 36H, 40H OU 44H</v>
      </c>
      <c r="H156" s="36">
        <v>22</v>
      </c>
      <c r="I156" s="37">
        <v>0.05</v>
      </c>
      <c r="J156" s="38" t="s">
        <v>46</v>
      </c>
      <c r="K156" s="39">
        <v>1</v>
      </c>
      <c r="L156" s="39">
        <f>K156*56</f>
        <v>56</v>
      </c>
      <c r="M156" s="40">
        <f>VLOOKUP(D156,[1]apoio_Preços_MGS!$A$6:$AN$238,18,FALSE)</f>
        <v>897.36814088508913</v>
      </c>
      <c r="N156" s="40">
        <f>VLOOKUP(D156,[1]apoio_Preços_MGS!$A$6:$AN$238,19,FALSE)</f>
        <v>0</v>
      </c>
      <c r="O156" s="40">
        <f>VLOOKUP(D156,[1]apoio_Preços_MGS!$A$6:$AN$238,20,FALSE)</f>
        <v>0</v>
      </c>
      <c r="P156" s="40">
        <f>VLOOKUP(D156,[1]apoio_Preços_MGS!$A$6:$AN$238,21,FALSE)</f>
        <v>0</v>
      </c>
      <c r="Q156" s="40">
        <f>VLOOKUP(D156,[1]apoio_Preços_MGS!$A$6:$AN$238,22,FALSE)</f>
        <v>0</v>
      </c>
      <c r="R156" s="40">
        <f>VLOOKUP(D156,[1]apoio_Preços_MGS!$A$6:$AN$238,23,FALSE)</f>
        <v>0</v>
      </c>
      <c r="S156" s="40">
        <f>VLOOKUP(D156,[1]apoio_Preços_MGS!$A$6:$AN$238,24,FALSE)</f>
        <v>0</v>
      </c>
      <c r="T156" s="40">
        <f>VLOOKUP(D156,[1]apoio_Preços_MGS!$A$6:$AN$238,25,FALSE)</f>
        <v>0</v>
      </c>
      <c r="U156" s="40">
        <f t="shared" si="43"/>
        <v>897.36814088508913</v>
      </c>
      <c r="V156" s="41">
        <v>0.81799999999999995</v>
      </c>
      <c r="W156" s="40">
        <f t="shared" si="44"/>
        <v>734.04713924400289</v>
      </c>
      <c r="X156" s="40">
        <f>VLOOKUP(D156,[1]apoio_Preços_MGS!$A$6:$AN$238,29,FALSE)</f>
        <v>26.905000000000001</v>
      </c>
      <c r="Y156" s="40">
        <f>VLOOKUP(D156,[1]apoio_Preços_MGS!$A$6:$AN$238,30,FALSE)</f>
        <v>43.982906556598273</v>
      </c>
      <c r="Z156" s="40">
        <f t="shared" si="45"/>
        <v>70.887906556598267</v>
      </c>
      <c r="AA156" s="40">
        <f>VLOOKUP(D156,[1]apoio_Preços_MGS!$A$6:$AN$238,32,FALSE)</f>
        <v>1.9427625599999998</v>
      </c>
      <c r="AB156" s="40">
        <f>VLOOKUP(D156,[1]apoio_Preços_MGS!$A$6:$AN$238,33,FALSE)</f>
        <v>249.58022726550217</v>
      </c>
      <c r="AC156" s="41">
        <f>VLOOKUP(D156,[1]apoio_Preços_MGS!$A$6:$AN$238,34,FALSE)</f>
        <v>3.4323193950865784E-2</v>
      </c>
      <c r="AD156" s="40">
        <f>(U156+W156+Z156+AB156+AA156+VLOOKUP(C156,[1]apoio_Prec_Folha!$A:$S,7,FALSE))*AC156</f>
        <v>85.885106476107751</v>
      </c>
      <c r="AE156" s="42">
        <f>VLOOKUP(D156,[1]apoio_Preços_MGS!$A$6:$AN$238,36,FALSE)</f>
        <v>7.0000000000000007E-2</v>
      </c>
      <c r="AF156" s="40">
        <f>(U156+W156+Z156+AB156+AD156+AA156+VLOOKUP(C156,[1]apoio_Prec_Folha!$A:$S,7,FALSE))*AE156</f>
        <v>181.16924211435762</v>
      </c>
      <c r="AG156" s="40">
        <f t="shared" si="46"/>
        <v>2220.88</v>
      </c>
      <c r="AH156" s="43">
        <f t="shared" si="47"/>
        <v>2589.94</v>
      </c>
      <c r="AI156" s="43">
        <f t="shared" si="48"/>
        <v>2589.94</v>
      </c>
      <c r="AJ156" s="43">
        <f t="shared" si="49"/>
        <v>145036.64000000001</v>
      </c>
      <c r="AK156" s="44">
        <f>VLOOKUP(D156,[1]apoio_Preços_MGS!$A$6:$AN$238,39,FALSE)</f>
        <v>100.00000000000001</v>
      </c>
      <c r="AL156" s="44">
        <f>IF(J156="demais municípios",VLOOKUP(D156,[1]apoio_Preços_MGS!$A$6:$AN$238,39,FALSE),0)</f>
        <v>100.00000000000001</v>
      </c>
      <c r="AM156" s="44">
        <v>0</v>
      </c>
      <c r="AN156" s="45">
        <f t="shared" si="68"/>
        <v>100.00000000000001</v>
      </c>
      <c r="AO156" s="44">
        <f>VLOOKUP(D156,[1]apoio_Preços_MGS!$A$6:$AN$238,40,FALSE)</f>
        <v>548.41999999999996</v>
      </c>
      <c r="AP156" s="44">
        <f>IF(J156="demais municípios",VLOOKUP(D156,[1]apoio_Preços_MGS!$A$6:$AN$238,40,FALSE),0)</f>
        <v>548.41999999999996</v>
      </c>
      <c r="AQ156" s="44">
        <v>0</v>
      </c>
      <c r="AR156" s="45">
        <f t="shared" si="69"/>
        <v>548.41999999999996</v>
      </c>
      <c r="AS156" s="45">
        <f t="shared" si="60"/>
        <v>648.41999999999996</v>
      </c>
      <c r="AT156" s="45">
        <f t="shared" si="63"/>
        <v>38905.199999999997</v>
      </c>
      <c r="AU156" s="62"/>
      <c r="AV156" s="46"/>
      <c r="AW156" s="47"/>
      <c r="AX156" s="48"/>
      <c r="AY156" s="49"/>
      <c r="BA156" s="48"/>
    </row>
    <row r="157" spans="1:53" ht="19.5" customHeight="1" x14ac:dyDescent="0.25">
      <c r="A157" s="33" t="str">
        <f t="shared" si="58"/>
        <v>106089220,05</v>
      </c>
      <c r="B157" s="33" t="str">
        <f t="shared" si="59"/>
        <v>2750,05</v>
      </c>
      <c r="C157" s="34" t="str">
        <f>VLOOKUP(D157,[1]apoio_Preços_MGS!$A$6:$B$238,2,FALSE)</f>
        <v>AUXILIAR DE LIMPEZA</v>
      </c>
      <c r="D157" s="35">
        <v>275</v>
      </c>
      <c r="E157" s="33" t="str">
        <f>VLOOKUP(D157,[1]apoio_Preços_MGS!$A$6:$F$238,6,FALSE)</f>
        <v>AUXILIAR DE LIMPEZA - DIARISTA DIURNO - 22H</v>
      </c>
      <c r="F157" s="36">
        <f>IFERROR(VLOOKUP(D157,'[1]apoio_cód catmas'!$B$2:$C$863,2,FALSE),0)</f>
        <v>106089</v>
      </c>
      <c r="G157" s="33" t="str">
        <f>IF(H157="N/A",VLOOKUP(F157&amp;40,'[1]apoio_cód catmas'!$A$1:$G$233,4,FALSE),VLOOKUP(F157&amp;H157,'[1]apoio_cód catmas'!$A$1:$G$233,4,FALSE))</f>
        <v>AUXILIAR DE LIMPEZA - 22H, 30H, 36H, 40H OU 44H</v>
      </c>
      <c r="H157" s="36">
        <v>22</v>
      </c>
      <c r="I157" s="37">
        <v>0.05</v>
      </c>
      <c r="J157" s="38" t="s">
        <v>46</v>
      </c>
      <c r="K157" s="39">
        <f>5-K158</f>
        <v>3</v>
      </c>
      <c r="L157" s="39">
        <f t="shared" si="42"/>
        <v>180</v>
      </c>
      <c r="M157" s="40">
        <f>VLOOKUP(D157,[1]apoio_Preços_MGS!$A$6:$AN$238,18,FALSE)</f>
        <v>897.36814088508913</v>
      </c>
      <c r="N157" s="40">
        <f>VLOOKUP(D157,[1]apoio_Preços_MGS!$A$6:$AN$238,19,FALSE)</f>
        <v>0</v>
      </c>
      <c r="O157" s="40">
        <f>VLOOKUP(D157,[1]apoio_Preços_MGS!$A$6:$AN$238,20,FALSE)</f>
        <v>0</v>
      </c>
      <c r="P157" s="40">
        <f>VLOOKUP(D157,[1]apoio_Preços_MGS!$A$6:$AN$238,21,FALSE)</f>
        <v>0</v>
      </c>
      <c r="Q157" s="40">
        <f>VLOOKUP(D157,[1]apoio_Preços_MGS!$A$6:$AN$238,22,FALSE)</f>
        <v>0</v>
      </c>
      <c r="R157" s="40">
        <f>VLOOKUP(D157,[1]apoio_Preços_MGS!$A$6:$AN$238,23,FALSE)</f>
        <v>0</v>
      </c>
      <c r="S157" s="40">
        <f>VLOOKUP(D157,[1]apoio_Preços_MGS!$A$6:$AN$238,24,FALSE)</f>
        <v>0</v>
      </c>
      <c r="T157" s="40">
        <f>VLOOKUP(D157,[1]apoio_Preços_MGS!$A$6:$AN$238,25,FALSE)</f>
        <v>0</v>
      </c>
      <c r="U157" s="40">
        <f t="shared" si="43"/>
        <v>897.36814088508913</v>
      </c>
      <c r="V157" s="41">
        <v>0.81799999999999995</v>
      </c>
      <c r="W157" s="40">
        <f t="shared" si="44"/>
        <v>734.04713924400289</v>
      </c>
      <c r="X157" s="40">
        <f>VLOOKUP(D157,[1]apoio_Preços_MGS!$A$6:$AN$238,29,FALSE)</f>
        <v>26.905000000000001</v>
      </c>
      <c r="Y157" s="40">
        <f>VLOOKUP(D157,[1]apoio_Preços_MGS!$A$6:$AN$238,30,FALSE)</f>
        <v>43.982906556598273</v>
      </c>
      <c r="Z157" s="40">
        <f t="shared" si="45"/>
        <v>70.887906556598267</v>
      </c>
      <c r="AA157" s="40">
        <f>VLOOKUP(D157,[1]apoio_Preços_MGS!$A$6:$AN$238,32,FALSE)</f>
        <v>1.9427625599999998</v>
      </c>
      <c r="AB157" s="40">
        <f>VLOOKUP(D157,[1]apoio_Preços_MGS!$A$6:$AN$238,33,FALSE)</f>
        <v>249.58022726550217</v>
      </c>
      <c r="AC157" s="41">
        <f>VLOOKUP(D157,[1]apoio_Preços_MGS!$A$6:$AN$238,34,FALSE)</f>
        <v>3.4323193950865784E-2</v>
      </c>
      <c r="AD157" s="40">
        <f>(U157+W157+Z157+AB157+AA157+VLOOKUP(C157,[1]apoio_Prec_Folha!$A:$S,7,FALSE))*AC157</f>
        <v>85.885106476107751</v>
      </c>
      <c r="AE157" s="42">
        <f>VLOOKUP(D157,[1]apoio_Preços_MGS!$A$6:$AN$238,36,FALSE)</f>
        <v>7.0000000000000007E-2</v>
      </c>
      <c r="AF157" s="40">
        <f>(U157+W157+Z157+AB157+AD157+AA157+VLOOKUP(C157,[1]apoio_Prec_Folha!$A:$S,7,FALSE))*AE157</f>
        <v>181.16924211435762</v>
      </c>
      <c r="AG157" s="40">
        <f t="shared" si="46"/>
        <v>2220.88</v>
      </c>
      <c r="AH157" s="43">
        <f t="shared" si="47"/>
        <v>2589.94</v>
      </c>
      <c r="AI157" s="43">
        <f t="shared" si="48"/>
        <v>7769.82</v>
      </c>
      <c r="AJ157" s="43">
        <f t="shared" si="49"/>
        <v>466189.2</v>
      </c>
      <c r="AK157" s="44">
        <f>VLOOKUP(D157,[1]apoio_Preços_MGS!$A$6:$AN$238,39,FALSE)</f>
        <v>100.00000000000001</v>
      </c>
      <c r="AL157" s="44">
        <f>IF(J157="demais municípios",VLOOKUP(D157,[1]apoio_Preços_MGS!$A$6:$AN$238,39,FALSE),0)</f>
        <v>100.00000000000001</v>
      </c>
      <c r="AM157" s="44">
        <v>0</v>
      </c>
      <c r="AN157" s="45">
        <f t="shared" si="68"/>
        <v>300.00000000000006</v>
      </c>
      <c r="AO157" s="44">
        <f>VLOOKUP(D157,[1]apoio_Preços_MGS!$A$6:$AN$238,40,FALSE)</f>
        <v>548.41999999999996</v>
      </c>
      <c r="AP157" s="44">
        <f>IF(J157="demais municípios",VLOOKUP(D157,[1]apoio_Preços_MGS!$A$6:$AN$238,40,FALSE),0)</f>
        <v>548.41999999999996</v>
      </c>
      <c r="AQ157" s="44">
        <v>0</v>
      </c>
      <c r="AR157" s="45">
        <f t="shared" si="69"/>
        <v>1645.2599999999998</v>
      </c>
      <c r="AS157" s="45">
        <f t="shared" si="60"/>
        <v>1945.2599999999998</v>
      </c>
      <c r="AT157" s="45">
        <f t="shared" si="63"/>
        <v>116715.59999999999</v>
      </c>
      <c r="AU157" s="62"/>
      <c r="AV157" s="46"/>
      <c r="AW157" s="47"/>
      <c r="AX157" s="48"/>
      <c r="AY157" s="49"/>
      <c r="BA157" s="48"/>
    </row>
    <row r="158" spans="1:53" ht="19.5" customHeight="1" x14ac:dyDescent="0.25">
      <c r="A158" s="33" t="str">
        <f t="shared" si="58"/>
        <v>106089220,05</v>
      </c>
      <c r="B158" s="33" t="str">
        <f t="shared" si="59"/>
        <v>2750,05</v>
      </c>
      <c r="C158" s="34" t="str">
        <f>VLOOKUP(D158,[1]apoio_Preços_MGS!$A$6:$B$238,2,FALSE)</f>
        <v>AUXILIAR DE LIMPEZA</v>
      </c>
      <c r="D158" s="35">
        <v>275</v>
      </c>
      <c r="E158" s="33" t="str">
        <f>VLOOKUP(D158,[1]apoio_Preços_MGS!$A$6:$F$238,6,FALSE)</f>
        <v>AUXILIAR DE LIMPEZA - DIARISTA DIURNO - 22H</v>
      </c>
      <c r="F158" s="36">
        <f>IFERROR(VLOOKUP(D158,'[1]apoio_cód catmas'!$B$2:$C$863,2,FALSE),0)</f>
        <v>106089</v>
      </c>
      <c r="G158" s="33" t="str">
        <f>IF(H158="N/A",VLOOKUP(F158&amp;40,'[1]apoio_cód catmas'!$A$1:$G$233,4,FALSE),VLOOKUP(F158&amp;H158,'[1]apoio_cód catmas'!$A$1:$G$233,4,FALSE))</f>
        <v>AUXILIAR DE LIMPEZA - 22H, 30H, 36H, 40H OU 44H</v>
      </c>
      <c r="H158" s="36">
        <v>22</v>
      </c>
      <c r="I158" s="37">
        <v>0.05</v>
      </c>
      <c r="J158" s="38" t="s">
        <v>47</v>
      </c>
      <c r="K158" s="39">
        <v>2</v>
      </c>
      <c r="L158" s="39">
        <f t="shared" si="42"/>
        <v>120</v>
      </c>
      <c r="M158" s="40">
        <f>VLOOKUP(D158,[1]apoio_Preços_MGS!$A$6:$AN$238,18,FALSE)</f>
        <v>897.36814088508913</v>
      </c>
      <c r="N158" s="40">
        <f>VLOOKUP(D158,[1]apoio_Preços_MGS!$A$6:$AN$238,19,FALSE)</f>
        <v>0</v>
      </c>
      <c r="O158" s="40">
        <f>VLOOKUP(D158,[1]apoio_Preços_MGS!$A$6:$AN$238,20,FALSE)</f>
        <v>0</v>
      </c>
      <c r="P158" s="40">
        <f>VLOOKUP(D158,[1]apoio_Preços_MGS!$A$6:$AN$238,21,FALSE)</f>
        <v>0</v>
      </c>
      <c r="Q158" s="40">
        <f>VLOOKUP(D158,[1]apoio_Preços_MGS!$A$6:$AN$238,22,FALSE)</f>
        <v>0</v>
      </c>
      <c r="R158" s="40">
        <f>VLOOKUP(D158,[1]apoio_Preços_MGS!$A$6:$AN$238,23,FALSE)</f>
        <v>0</v>
      </c>
      <c r="S158" s="40">
        <f>VLOOKUP(D158,[1]apoio_Preços_MGS!$A$6:$AN$238,24,FALSE)</f>
        <v>0</v>
      </c>
      <c r="T158" s="40">
        <f>VLOOKUP(D158,[1]apoio_Preços_MGS!$A$6:$AN$238,25,FALSE)</f>
        <v>0</v>
      </c>
      <c r="U158" s="40">
        <f t="shared" si="43"/>
        <v>897.36814088508913</v>
      </c>
      <c r="V158" s="41">
        <v>0.81799999999999995</v>
      </c>
      <c r="W158" s="40">
        <f t="shared" si="44"/>
        <v>734.04713924400289</v>
      </c>
      <c r="X158" s="40">
        <f>VLOOKUP(D158,[1]apoio_Preços_MGS!$A$6:$AN$238,29,FALSE)</f>
        <v>26.905000000000001</v>
      </c>
      <c r="Y158" s="40">
        <f>VLOOKUP(D158,[1]apoio_Preços_MGS!$A$6:$AN$238,30,FALSE)</f>
        <v>43.982906556598273</v>
      </c>
      <c r="Z158" s="40">
        <f t="shared" si="45"/>
        <v>70.887906556598267</v>
      </c>
      <c r="AA158" s="40">
        <f>VLOOKUP(D158,[1]apoio_Preços_MGS!$A$6:$AN$238,32,FALSE)</f>
        <v>1.9427625599999998</v>
      </c>
      <c r="AB158" s="40">
        <f>VLOOKUP(D158,[1]apoio_Preços_MGS!$A$6:$AN$238,33,FALSE)</f>
        <v>249.58022726550217</v>
      </c>
      <c r="AC158" s="41">
        <f>VLOOKUP(D158,[1]apoio_Preços_MGS!$A$6:$AN$238,34,FALSE)</f>
        <v>3.4323193950865784E-2</v>
      </c>
      <c r="AD158" s="40">
        <f>(U158+W158+Z158+AB158+AA158+VLOOKUP(C158,[1]apoio_Prec_Folha!$A:$S,7,FALSE))*AC158</f>
        <v>85.885106476107751</v>
      </c>
      <c r="AE158" s="42">
        <f>VLOOKUP(D158,[1]apoio_Preços_MGS!$A$6:$AN$238,36,FALSE)</f>
        <v>7.0000000000000007E-2</v>
      </c>
      <c r="AF158" s="40">
        <f>(U158+W158+Z158+AB158+AD158+AA158+VLOOKUP(C158,[1]apoio_Prec_Folha!$A:$S,7,FALSE))*AE158</f>
        <v>181.16924211435762</v>
      </c>
      <c r="AG158" s="40">
        <f t="shared" si="46"/>
        <v>2220.88</v>
      </c>
      <c r="AH158" s="43">
        <f t="shared" si="47"/>
        <v>2589.94</v>
      </c>
      <c r="AI158" s="43">
        <f t="shared" si="48"/>
        <v>5179.88</v>
      </c>
      <c r="AJ158" s="43">
        <f t="shared" si="49"/>
        <v>310792.8</v>
      </c>
      <c r="AK158" s="44">
        <f>VLOOKUP(D158,[1]apoio_Preços_MGS!$A$6:$AN$238,39,FALSE)</f>
        <v>100.00000000000001</v>
      </c>
      <c r="AL158" s="44">
        <f>IF(J158="demais municípios",VLOOKUP(D158,[1]apoio_Preços_MGS!$A$6:$AN$238,39,FALSE),0)</f>
        <v>0</v>
      </c>
      <c r="AM158" s="44">
        <f>TRUNC(ROUND(($I158)/(1-($I158)),5)*VLOOKUP(D158,[1]apoio_Preços_MGS!$A$6:$AN$238,39,FALSE)+VLOOKUP(D158,[1]apoio_Preços_MGS!$A$6:$AN$238,39,FALSE),2)</f>
        <v>105.26</v>
      </c>
      <c r="AN158" s="45">
        <f t="shared" si="61"/>
        <v>210.52</v>
      </c>
      <c r="AO158" s="44">
        <f>VLOOKUP(D158,[1]apoio_Preços_MGS!$A$6:$AN$238,40,FALSE)</f>
        <v>548.41999999999996</v>
      </c>
      <c r="AP158" s="44">
        <f>IF(J158="demais municípios",VLOOKUP(D158,[1]apoio_Preços_MGS!$A$6:$AN$238,40,FALSE),0)</f>
        <v>0</v>
      </c>
      <c r="AQ158" s="44">
        <f>TRUNC(ROUND(($I158)/(1-($I158)),5)*VLOOKUP(D158,[1]apoio_Preços_MGS!$A$6:$AN$238,40,FALSE)+VLOOKUP(D158,[1]apoio_Preços_MGS!$A$6:$AN$238,40,FALSE),2)</f>
        <v>577.28</v>
      </c>
      <c r="AR158" s="45">
        <f t="shared" si="62"/>
        <v>1154.56</v>
      </c>
      <c r="AS158" s="45">
        <f t="shared" si="60"/>
        <v>1365.08</v>
      </c>
      <c r="AT158" s="45">
        <f t="shared" si="63"/>
        <v>81904.799999999988</v>
      </c>
      <c r="AU158" s="62"/>
      <c r="AV158" s="46"/>
      <c r="AW158" s="47"/>
      <c r="AX158" s="48"/>
      <c r="AY158" s="49"/>
      <c r="BA158" s="48"/>
    </row>
    <row r="159" spans="1:53" ht="19.5" customHeight="1" x14ac:dyDescent="0.25">
      <c r="A159" s="33" t="str">
        <f t="shared" si="58"/>
        <v>106089300,02</v>
      </c>
      <c r="B159" s="33" t="str">
        <f t="shared" si="59"/>
        <v>2740,02</v>
      </c>
      <c r="C159" s="34" t="str">
        <f>VLOOKUP(D159,[1]apoio_Preços_MGS!$A$6:$B$238,2,FALSE)</f>
        <v>AUXILIAR DE LIMPEZA</v>
      </c>
      <c r="D159" s="35">
        <v>274</v>
      </c>
      <c r="E159" s="33" t="str">
        <f>VLOOKUP(D159,[1]apoio_Preços_MGS!$A$6:$F$238,6,FALSE)</f>
        <v>AUXILIAR DE LIMPEZA - DIARISTA DIURNO - 30H</v>
      </c>
      <c r="F159" s="36">
        <f>IFERROR(VLOOKUP(D159,'[1]apoio_cód catmas'!$B$2:$C$863,2,FALSE),0)</f>
        <v>106089</v>
      </c>
      <c r="G159" s="33" t="str">
        <f>IF(H159="N/A",VLOOKUP(F159&amp;40,'[1]apoio_cód catmas'!$A$1:$G$233,4,FALSE),VLOOKUP(F159&amp;H159,'[1]apoio_cód catmas'!$A$1:$G$233,4,FALSE))</f>
        <v>AUXILIAR DE LIMPEZA - 22H, 30H, 36H, 40H OU 44H</v>
      </c>
      <c r="H159" s="36">
        <v>30</v>
      </c>
      <c r="I159" s="37">
        <v>0.02</v>
      </c>
      <c r="J159" s="38" t="s">
        <v>46</v>
      </c>
      <c r="K159" s="39">
        <v>2</v>
      </c>
      <c r="L159" s="39">
        <f t="shared" si="42"/>
        <v>120</v>
      </c>
      <c r="M159" s="40">
        <f>VLOOKUP(D159,[1]apoio_Preços_MGS!$A$6:$AN$238,18,FALSE)</f>
        <v>1223.683828479667</v>
      </c>
      <c r="N159" s="40">
        <f>VLOOKUP(D159,[1]apoio_Preços_MGS!$A$6:$AN$238,19,FALSE)</f>
        <v>0</v>
      </c>
      <c r="O159" s="40">
        <f>VLOOKUP(D159,[1]apoio_Preços_MGS!$A$6:$AN$238,20,FALSE)</f>
        <v>0</v>
      </c>
      <c r="P159" s="40">
        <f>VLOOKUP(D159,[1]apoio_Preços_MGS!$A$6:$AN$238,21,FALSE)</f>
        <v>0</v>
      </c>
      <c r="Q159" s="40">
        <f>VLOOKUP(D159,[1]apoio_Preços_MGS!$A$6:$AN$238,22,FALSE)</f>
        <v>0</v>
      </c>
      <c r="R159" s="40">
        <f>VLOOKUP(D159,[1]apoio_Preços_MGS!$A$6:$AN$238,23,FALSE)</f>
        <v>0</v>
      </c>
      <c r="S159" s="40">
        <f>VLOOKUP(D159,[1]apoio_Preços_MGS!$A$6:$AN$238,24,FALSE)</f>
        <v>0</v>
      </c>
      <c r="T159" s="40">
        <f>VLOOKUP(D159,[1]apoio_Preços_MGS!$A$6:$AN$238,25,FALSE)</f>
        <v>0</v>
      </c>
      <c r="U159" s="40">
        <f t="shared" si="43"/>
        <v>1223.683828479667</v>
      </c>
      <c r="V159" s="41">
        <v>0.81799999999999995</v>
      </c>
      <c r="W159" s="40">
        <f t="shared" si="44"/>
        <v>1000.9733716963675</v>
      </c>
      <c r="X159" s="40">
        <f>VLOOKUP(D159,[1]apoio_Preços_MGS!$A$6:$AN$238,29,FALSE)</f>
        <v>26.905000000000001</v>
      </c>
      <c r="Y159" s="40">
        <f>VLOOKUP(D159,[1]apoio_Preços_MGS!$A$6:$AN$238,30,FALSE)</f>
        <v>43.982906556598273</v>
      </c>
      <c r="Z159" s="40">
        <f t="shared" si="45"/>
        <v>70.887906556598267</v>
      </c>
      <c r="AA159" s="40">
        <f>VLOOKUP(D159,[1]apoio_Preços_MGS!$A$6:$AN$238,32,FALSE)</f>
        <v>2.3494729506809606</v>
      </c>
      <c r="AB159" s="40">
        <f>VLOOKUP(D159,[1]apoio_Preços_MGS!$A$6:$AN$238,33,FALSE)</f>
        <v>234.71648640699698</v>
      </c>
      <c r="AC159" s="41">
        <f>VLOOKUP(D159,[1]apoio_Preços_MGS!$A$6:$AN$238,34,FALSE)</f>
        <v>3.4323193950865784E-2</v>
      </c>
      <c r="AD159" s="40">
        <f>(U159+W159+Z159+AB159+AA159+VLOOKUP(C159,[1]apoio_Prec_Folha!$A:$S,7,FALSE))*AC159</f>
        <v>105.75085249696228</v>
      </c>
      <c r="AE159" s="42">
        <f>VLOOKUP(D159,[1]apoio_Preços_MGS!$A$6:$AN$238,36,FALSE)</f>
        <v>7.0000000000000007E-2</v>
      </c>
      <c r="AF159" s="40">
        <f>(U159+W159+Z159+AB159+AD159+AA159+VLOOKUP(C159,[1]apoio_Prec_Folha!$A:$S,7,FALSE))*AE159</f>
        <v>223.07478660635573</v>
      </c>
      <c r="AG159" s="40">
        <f t="shared" si="46"/>
        <v>2861.43</v>
      </c>
      <c r="AH159" s="43">
        <f t="shared" si="47"/>
        <v>3224.14</v>
      </c>
      <c r="AI159" s="43">
        <f t="shared" si="48"/>
        <v>6448.28</v>
      </c>
      <c r="AJ159" s="43">
        <f t="shared" si="49"/>
        <v>386896.8</v>
      </c>
      <c r="AK159" s="44">
        <f>VLOOKUP(D159,[1]apoio_Preços_MGS!$A$6:$AN$238,39,FALSE)</f>
        <v>136.36363636363637</v>
      </c>
      <c r="AL159" s="44">
        <f>IF(J159="demais municípios",VLOOKUP(D159,[1]apoio_Preços_MGS!$A$6:$AN$238,39,FALSE),0)</f>
        <v>136.36363636363637</v>
      </c>
      <c r="AM159" s="44">
        <v>0</v>
      </c>
      <c r="AN159" s="45">
        <f t="shared" ref="AN159:AN162" si="70">AK159*K159</f>
        <v>272.72727272727275</v>
      </c>
      <c r="AO159" s="44">
        <f>VLOOKUP(D159,[1]apoio_Preços_MGS!$A$6:$AN$238,40,FALSE)</f>
        <v>548.41999999999996</v>
      </c>
      <c r="AP159" s="44">
        <f>IF(J159="demais municípios",VLOOKUP(D159,[1]apoio_Preços_MGS!$A$6:$AN$238,40,FALSE),0)</f>
        <v>548.41999999999996</v>
      </c>
      <c r="AQ159" s="44">
        <v>0</v>
      </c>
      <c r="AR159" s="45">
        <f t="shared" ref="AR159:AR162" si="71">AO159*K159</f>
        <v>1096.8399999999999</v>
      </c>
      <c r="AS159" s="45">
        <f t="shared" si="60"/>
        <v>1369.5672727272727</v>
      </c>
      <c r="AT159" s="45">
        <f t="shared" si="63"/>
        <v>82174.036363636362</v>
      </c>
      <c r="AU159" s="62"/>
      <c r="AV159" s="46"/>
      <c r="AW159" s="47"/>
      <c r="AX159" s="48"/>
      <c r="AY159" s="49"/>
      <c r="BA159" s="48"/>
    </row>
    <row r="160" spans="1:53" ht="19.5" customHeight="1" x14ac:dyDescent="0.25">
      <c r="A160" s="33" t="str">
        <f t="shared" si="58"/>
        <v>106089300,03</v>
      </c>
      <c r="B160" s="33" t="str">
        <f t="shared" si="59"/>
        <v>2740,03</v>
      </c>
      <c r="C160" s="34" t="str">
        <f>VLOOKUP(D160,[1]apoio_Preços_MGS!$A$6:$B$238,2,FALSE)</f>
        <v>AUXILIAR DE LIMPEZA</v>
      </c>
      <c r="D160" s="35">
        <v>274</v>
      </c>
      <c r="E160" s="33" t="str">
        <f>VLOOKUP(D160,[1]apoio_Preços_MGS!$A$6:$F$238,6,FALSE)</f>
        <v>AUXILIAR DE LIMPEZA - DIARISTA DIURNO - 30H</v>
      </c>
      <c r="F160" s="36">
        <f>IFERROR(VLOOKUP(D160,'[1]apoio_cód catmas'!$B$2:$C$863,2,FALSE),0)</f>
        <v>106089</v>
      </c>
      <c r="G160" s="33" t="str">
        <f>IF(H160="N/A",VLOOKUP(F160&amp;40,'[1]apoio_cód catmas'!$A$1:$G$233,4,FALSE),VLOOKUP(F160&amp;H160,'[1]apoio_cód catmas'!$A$1:$G$233,4,FALSE))</f>
        <v>AUXILIAR DE LIMPEZA - 22H, 30H, 36H, 40H OU 44H</v>
      </c>
      <c r="H160" s="36">
        <v>30</v>
      </c>
      <c r="I160" s="37">
        <v>0.03</v>
      </c>
      <c r="J160" s="38" t="s">
        <v>46</v>
      </c>
      <c r="K160" s="39">
        <v>6</v>
      </c>
      <c r="L160" s="39">
        <f t="shared" si="42"/>
        <v>360</v>
      </c>
      <c r="M160" s="40">
        <f>VLOOKUP(D160,[1]apoio_Preços_MGS!$A$6:$AN$238,18,FALSE)</f>
        <v>1223.683828479667</v>
      </c>
      <c r="N160" s="40">
        <f>VLOOKUP(D160,[1]apoio_Preços_MGS!$A$6:$AN$238,19,FALSE)</f>
        <v>0</v>
      </c>
      <c r="O160" s="40">
        <f>VLOOKUP(D160,[1]apoio_Preços_MGS!$A$6:$AN$238,20,FALSE)</f>
        <v>0</v>
      </c>
      <c r="P160" s="40">
        <f>VLOOKUP(D160,[1]apoio_Preços_MGS!$A$6:$AN$238,21,FALSE)</f>
        <v>0</v>
      </c>
      <c r="Q160" s="40">
        <f>VLOOKUP(D160,[1]apoio_Preços_MGS!$A$6:$AN$238,22,FALSE)</f>
        <v>0</v>
      </c>
      <c r="R160" s="40">
        <f>VLOOKUP(D160,[1]apoio_Preços_MGS!$A$6:$AN$238,23,FALSE)</f>
        <v>0</v>
      </c>
      <c r="S160" s="40">
        <f>VLOOKUP(D160,[1]apoio_Preços_MGS!$A$6:$AN$238,24,FALSE)</f>
        <v>0</v>
      </c>
      <c r="T160" s="40">
        <f>VLOOKUP(D160,[1]apoio_Preços_MGS!$A$6:$AN$238,25,FALSE)</f>
        <v>0</v>
      </c>
      <c r="U160" s="40">
        <f t="shared" si="43"/>
        <v>1223.683828479667</v>
      </c>
      <c r="V160" s="41">
        <v>0.81799999999999995</v>
      </c>
      <c r="W160" s="40">
        <f t="shared" si="44"/>
        <v>1000.9733716963675</v>
      </c>
      <c r="X160" s="40">
        <f>VLOOKUP(D160,[1]apoio_Preços_MGS!$A$6:$AN$238,29,FALSE)</f>
        <v>26.905000000000001</v>
      </c>
      <c r="Y160" s="40">
        <f>VLOOKUP(D160,[1]apoio_Preços_MGS!$A$6:$AN$238,30,FALSE)</f>
        <v>43.982906556598273</v>
      </c>
      <c r="Z160" s="40">
        <f t="shared" si="45"/>
        <v>70.887906556598267</v>
      </c>
      <c r="AA160" s="40">
        <f>VLOOKUP(D160,[1]apoio_Preços_MGS!$A$6:$AN$238,32,FALSE)</f>
        <v>2.3494729506809606</v>
      </c>
      <c r="AB160" s="40">
        <f>VLOOKUP(D160,[1]apoio_Preços_MGS!$A$6:$AN$238,33,FALSE)</f>
        <v>234.71648640699698</v>
      </c>
      <c r="AC160" s="41">
        <f>VLOOKUP(D160,[1]apoio_Preços_MGS!$A$6:$AN$238,34,FALSE)</f>
        <v>3.4323193950865784E-2</v>
      </c>
      <c r="AD160" s="40">
        <f>(U160+W160+Z160+AB160+AA160+VLOOKUP(C160,[1]apoio_Prec_Folha!$A:$S,7,FALSE))*AC160</f>
        <v>105.75085249696228</v>
      </c>
      <c r="AE160" s="42">
        <f>VLOOKUP(D160,[1]apoio_Preços_MGS!$A$6:$AN$238,36,FALSE)</f>
        <v>7.0000000000000007E-2</v>
      </c>
      <c r="AF160" s="40">
        <f>(U160+W160+Z160+AB160+AD160+AA160+VLOOKUP(C160,[1]apoio_Prec_Folha!$A:$S,7,FALSE))*AE160</f>
        <v>223.07478660635573</v>
      </c>
      <c r="AG160" s="40">
        <f t="shared" si="46"/>
        <v>2861.43</v>
      </c>
      <c r="AH160" s="43">
        <f t="shared" si="47"/>
        <v>3260.88</v>
      </c>
      <c r="AI160" s="43">
        <f t="shared" si="48"/>
        <v>19565.28</v>
      </c>
      <c r="AJ160" s="43">
        <f t="shared" si="49"/>
        <v>1173916.8</v>
      </c>
      <c r="AK160" s="44">
        <f>VLOOKUP(D160,[1]apoio_Preços_MGS!$A$6:$AN$238,39,FALSE)</f>
        <v>136.36363636363637</v>
      </c>
      <c r="AL160" s="44">
        <f>IF(J160="demais municípios",VLOOKUP(D160,[1]apoio_Preços_MGS!$A$6:$AN$238,39,FALSE),0)</f>
        <v>136.36363636363637</v>
      </c>
      <c r="AM160" s="44">
        <v>0</v>
      </c>
      <c r="AN160" s="45">
        <f t="shared" si="70"/>
        <v>818.18181818181824</v>
      </c>
      <c r="AO160" s="44">
        <f>VLOOKUP(D160,[1]apoio_Preços_MGS!$A$6:$AN$238,40,FALSE)</f>
        <v>548.41999999999996</v>
      </c>
      <c r="AP160" s="44">
        <f>IF(J160="demais municípios",VLOOKUP(D160,[1]apoio_Preços_MGS!$A$6:$AN$238,40,FALSE),0)</f>
        <v>548.41999999999996</v>
      </c>
      <c r="AQ160" s="44">
        <v>0</v>
      </c>
      <c r="AR160" s="45">
        <f t="shared" si="71"/>
        <v>3290.5199999999995</v>
      </c>
      <c r="AS160" s="45">
        <f t="shared" si="60"/>
        <v>4108.7018181818175</v>
      </c>
      <c r="AT160" s="45">
        <f t="shared" si="63"/>
        <v>246522.10909090904</v>
      </c>
      <c r="AU160" s="62"/>
      <c r="AV160" s="46"/>
      <c r="AW160" s="47"/>
      <c r="AX160" s="48"/>
      <c r="AY160" s="49"/>
      <c r="BA160" s="48"/>
    </row>
    <row r="161" spans="1:53" ht="19.5" customHeight="1" x14ac:dyDescent="0.25">
      <c r="A161" s="33" t="str">
        <f t="shared" si="58"/>
        <v>106089300,04</v>
      </c>
      <c r="B161" s="33" t="str">
        <f t="shared" si="59"/>
        <v>2740,04</v>
      </c>
      <c r="C161" s="34" t="str">
        <f>VLOOKUP(D161,[1]apoio_Preços_MGS!$A$6:$B$238,2,FALSE)</f>
        <v>AUXILIAR DE LIMPEZA</v>
      </c>
      <c r="D161" s="35">
        <v>274</v>
      </c>
      <c r="E161" s="33" t="str">
        <f>VLOOKUP(D161,[1]apoio_Preços_MGS!$A$6:$F$238,6,FALSE)</f>
        <v>AUXILIAR DE LIMPEZA - DIARISTA DIURNO - 30H</v>
      </c>
      <c r="F161" s="36">
        <f>IFERROR(VLOOKUP(D161,'[1]apoio_cód catmas'!$B$2:$C$863,2,FALSE),0)</f>
        <v>106089</v>
      </c>
      <c r="G161" s="33" t="str">
        <f>IF(H161="N/A",VLOOKUP(F161&amp;40,'[1]apoio_cód catmas'!$A$1:$G$233,4,FALSE),VLOOKUP(F161&amp;H161,'[1]apoio_cód catmas'!$A$1:$G$233,4,FALSE))</f>
        <v>AUXILIAR DE LIMPEZA - 22H, 30H, 36H, 40H OU 44H</v>
      </c>
      <c r="H161" s="36">
        <v>30</v>
      </c>
      <c r="I161" s="37">
        <v>0.04</v>
      </c>
      <c r="J161" s="38" t="s">
        <v>46</v>
      </c>
      <c r="K161" s="39">
        <v>1</v>
      </c>
      <c r="L161" s="39">
        <f t="shared" si="42"/>
        <v>60</v>
      </c>
      <c r="M161" s="40">
        <f>VLOOKUP(D161,[1]apoio_Preços_MGS!$A$6:$AN$238,18,FALSE)</f>
        <v>1223.683828479667</v>
      </c>
      <c r="N161" s="40">
        <f>VLOOKUP(D161,[1]apoio_Preços_MGS!$A$6:$AN$238,19,FALSE)</f>
        <v>0</v>
      </c>
      <c r="O161" s="40">
        <f>VLOOKUP(D161,[1]apoio_Preços_MGS!$A$6:$AN$238,20,FALSE)</f>
        <v>0</v>
      </c>
      <c r="P161" s="40">
        <f>VLOOKUP(D161,[1]apoio_Preços_MGS!$A$6:$AN$238,21,FALSE)</f>
        <v>0</v>
      </c>
      <c r="Q161" s="40">
        <f>VLOOKUP(D161,[1]apoio_Preços_MGS!$A$6:$AN$238,22,FALSE)</f>
        <v>0</v>
      </c>
      <c r="R161" s="40">
        <f>VLOOKUP(D161,[1]apoio_Preços_MGS!$A$6:$AN$238,23,FALSE)</f>
        <v>0</v>
      </c>
      <c r="S161" s="40">
        <f>VLOOKUP(D161,[1]apoio_Preços_MGS!$A$6:$AN$238,24,FALSE)</f>
        <v>0</v>
      </c>
      <c r="T161" s="40">
        <f>VLOOKUP(D161,[1]apoio_Preços_MGS!$A$6:$AN$238,25,FALSE)</f>
        <v>0</v>
      </c>
      <c r="U161" s="40">
        <f t="shared" si="43"/>
        <v>1223.683828479667</v>
      </c>
      <c r="V161" s="41">
        <v>0.81799999999999995</v>
      </c>
      <c r="W161" s="40">
        <f t="shared" si="44"/>
        <v>1000.9733716963675</v>
      </c>
      <c r="X161" s="40">
        <f>VLOOKUP(D161,[1]apoio_Preços_MGS!$A$6:$AN$238,29,FALSE)</f>
        <v>26.905000000000001</v>
      </c>
      <c r="Y161" s="40">
        <f>VLOOKUP(D161,[1]apoio_Preços_MGS!$A$6:$AN$238,30,FALSE)</f>
        <v>43.982906556598273</v>
      </c>
      <c r="Z161" s="40">
        <f t="shared" si="45"/>
        <v>70.887906556598267</v>
      </c>
      <c r="AA161" s="40">
        <f>VLOOKUP(D161,[1]apoio_Preços_MGS!$A$6:$AN$238,32,FALSE)</f>
        <v>2.3494729506809606</v>
      </c>
      <c r="AB161" s="40">
        <f>VLOOKUP(D161,[1]apoio_Preços_MGS!$A$6:$AN$238,33,FALSE)</f>
        <v>234.71648640699698</v>
      </c>
      <c r="AC161" s="41">
        <f>VLOOKUP(D161,[1]apoio_Preços_MGS!$A$6:$AN$238,34,FALSE)</f>
        <v>3.4323193950865784E-2</v>
      </c>
      <c r="AD161" s="40">
        <f>(U161+W161+Z161+AB161+AA161+VLOOKUP(C161,[1]apoio_Prec_Folha!$A:$S,7,FALSE))*AC161</f>
        <v>105.75085249696228</v>
      </c>
      <c r="AE161" s="42">
        <f>VLOOKUP(D161,[1]apoio_Preços_MGS!$A$6:$AN$238,36,FALSE)</f>
        <v>7.0000000000000007E-2</v>
      </c>
      <c r="AF161" s="40">
        <f>(U161+W161+Z161+AB161+AD161+AA161+VLOOKUP(C161,[1]apoio_Prec_Folha!$A:$S,7,FALSE))*AE161</f>
        <v>223.07478660635573</v>
      </c>
      <c r="AG161" s="40">
        <f t="shared" si="46"/>
        <v>2861.43</v>
      </c>
      <c r="AH161" s="43">
        <f t="shared" si="47"/>
        <v>3298.48</v>
      </c>
      <c r="AI161" s="43">
        <f t="shared" si="48"/>
        <v>3298.48</v>
      </c>
      <c r="AJ161" s="43">
        <f t="shared" si="49"/>
        <v>197908.8</v>
      </c>
      <c r="AK161" s="44">
        <f>VLOOKUP(D161,[1]apoio_Preços_MGS!$A$6:$AN$238,39,FALSE)</f>
        <v>136.36363636363637</v>
      </c>
      <c r="AL161" s="44">
        <f>IF(J161="demais municípios",VLOOKUP(D161,[1]apoio_Preços_MGS!$A$6:$AN$238,39,FALSE),0)</f>
        <v>136.36363636363637</v>
      </c>
      <c r="AM161" s="44">
        <v>0</v>
      </c>
      <c r="AN161" s="45">
        <f t="shared" si="70"/>
        <v>136.36363636363637</v>
      </c>
      <c r="AO161" s="44">
        <f>VLOOKUP(D161,[1]apoio_Preços_MGS!$A$6:$AN$238,40,FALSE)</f>
        <v>548.41999999999996</v>
      </c>
      <c r="AP161" s="44">
        <f>IF(J161="demais municípios",VLOOKUP(D161,[1]apoio_Preços_MGS!$A$6:$AN$238,40,FALSE),0)</f>
        <v>548.41999999999996</v>
      </c>
      <c r="AQ161" s="44">
        <v>0</v>
      </c>
      <c r="AR161" s="45">
        <f t="shared" si="71"/>
        <v>548.41999999999996</v>
      </c>
      <c r="AS161" s="45">
        <f t="shared" si="60"/>
        <v>684.78363636363633</v>
      </c>
      <c r="AT161" s="45">
        <f t="shared" si="63"/>
        <v>41087.018181818181</v>
      </c>
      <c r="AU161" s="62"/>
      <c r="AV161" s="46"/>
      <c r="AW161" s="47"/>
      <c r="AX161" s="48"/>
      <c r="AY161" s="49"/>
      <c r="BA161" s="48"/>
    </row>
    <row r="162" spans="1:53" ht="19.5" customHeight="1" x14ac:dyDescent="0.25">
      <c r="A162" s="33" t="str">
        <f t="shared" si="58"/>
        <v>106089300,05</v>
      </c>
      <c r="B162" s="33" t="str">
        <f t="shared" si="59"/>
        <v>2740,05</v>
      </c>
      <c r="C162" s="34" t="str">
        <f>VLOOKUP(D162,[1]apoio_Preços_MGS!$A$6:$B$238,2,FALSE)</f>
        <v>AUXILIAR DE LIMPEZA</v>
      </c>
      <c r="D162" s="35">
        <v>274</v>
      </c>
      <c r="E162" s="33" t="str">
        <f>VLOOKUP(D162,[1]apoio_Preços_MGS!$A$6:$F$238,6,FALSE)</f>
        <v>AUXILIAR DE LIMPEZA - DIARISTA DIURNO - 30H</v>
      </c>
      <c r="F162" s="36">
        <f>IFERROR(VLOOKUP(D162,'[1]apoio_cód catmas'!$B$2:$C$863,2,FALSE),0)</f>
        <v>106089</v>
      </c>
      <c r="G162" s="33" t="str">
        <f>IF(H162="N/A",VLOOKUP(F162&amp;40,'[1]apoio_cód catmas'!$A$1:$G$233,4,FALSE),VLOOKUP(F162&amp;H162,'[1]apoio_cód catmas'!$A$1:$G$233,4,FALSE))</f>
        <v>AUXILIAR DE LIMPEZA - 22H, 30H, 36H, 40H OU 44H</v>
      </c>
      <c r="H162" s="36">
        <v>30</v>
      </c>
      <c r="I162" s="37">
        <v>0.05</v>
      </c>
      <c r="J162" s="38" t="s">
        <v>46</v>
      </c>
      <c r="K162" s="39">
        <f>4-K164</f>
        <v>2</v>
      </c>
      <c r="L162" s="39">
        <f t="shared" si="42"/>
        <v>120</v>
      </c>
      <c r="M162" s="40">
        <f>VLOOKUP(D162,[1]apoio_Preços_MGS!$A$6:$AN$238,18,FALSE)</f>
        <v>1223.683828479667</v>
      </c>
      <c r="N162" s="40">
        <f>VLOOKUP(D162,[1]apoio_Preços_MGS!$A$6:$AN$238,19,FALSE)</f>
        <v>0</v>
      </c>
      <c r="O162" s="40">
        <f>VLOOKUP(D162,[1]apoio_Preços_MGS!$A$6:$AN$238,20,FALSE)</f>
        <v>0</v>
      </c>
      <c r="P162" s="40">
        <f>VLOOKUP(D162,[1]apoio_Preços_MGS!$A$6:$AN$238,21,FALSE)</f>
        <v>0</v>
      </c>
      <c r="Q162" s="40">
        <f>VLOOKUP(D162,[1]apoio_Preços_MGS!$A$6:$AN$238,22,FALSE)</f>
        <v>0</v>
      </c>
      <c r="R162" s="40">
        <f>VLOOKUP(D162,[1]apoio_Preços_MGS!$A$6:$AN$238,23,FALSE)</f>
        <v>0</v>
      </c>
      <c r="S162" s="40">
        <f>VLOOKUP(D162,[1]apoio_Preços_MGS!$A$6:$AN$238,24,FALSE)</f>
        <v>0</v>
      </c>
      <c r="T162" s="40">
        <f>VLOOKUP(D162,[1]apoio_Preços_MGS!$A$6:$AN$238,25,FALSE)</f>
        <v>0</v>
      </c>
      <c r="U162" s="40">
        <f t="shared" si="43"/>
        <v>1223.683828479667</v>
      </c>
      <c r="V162" s="41">
        <v>0.81799999999999995</v>
      </c>
      <c r="W162" s="40">
        <f t="shared" si="44"/>
        <v>1000.9733716963675</v>
      </c>
      <c r="X162" s="40">
        <f>VLOOKUP(D162,[1]apoio_Preços_MGS!$A$6:$AN$238,29,FALSE)</f>
        <v>26.905000000000001</v>
      </c>
      <c r="Y162" s="40">
        <f>VLOOKUP(D162,[1]apoio_Preços_MGS!$A$6:$AN$238,30,FALSE)</f>
        <v>43.982906556598273</v>
      </c>
      <c r="Z162" s="40">
        <f t="shared" si="45"/>
        <v>70.887906556598267</v>
      </c>
      <c r="AA162" s="40">
        <f>VLOOKUP(D162,[1]apoio_Preços_MGS!$A$6:$AN$238,32,FALSE)</f>
        <v>2.3494729506809606</v>
      </c>
      <c r="AB162" s="40">
        <f>VLOOKUP(D162,[1]apoio_Preços_MGS!$A$6:$AN$238,33,FALSE)</f>
        <v>234.71648640699698</v>
      </c>
      <c r="AC162" s="41">
        <f>VLOOKUP(D162,[1]apoio_Preços_MGS!$A$6:$AN$238,34,FALSE)</f>
        <v>3.4323193950865784E-2</v>
      </c>
      <c r="AD162" s="40">
        <f>(U162+W162+Z162+AB162+AA162+VLOOKUP(C162,[1]apoio_Prec_Folha!$A:$S,7,FALSE))*AC162</f>
        <v>105.75085249696228</v>
      </c>
      <c r="AE162" s="42">
        <f>VLOOKUP(D162,[1]apoio_Preços_MGS!$A$6:$AN$238,36,FALSE)</f>
        <v>7.0000000000000007E-2</v>
      </c>
      <c r="AF162" s="40">
        <f>(U162+W162+Z162+AB162+AD162+AA162+VLOOKUP(C162,[1]apoio_Prec_Folha!$A:$S,7,FALSE))*AE162</f>
        <v>223.07478660635573</v>
      </c>
      <c r="AG162" s="40">
        <f t="shared" si="46"/>
        <v>2861.43</v>
      </c>
      <c r="AH162" s="43">
        <f t="shared" si="47"/>
        <v>3336.94</v>
      </c>
      <c r="AI162" s="43">
        <f t="shared" si="48"/>
        <v>6673.88</v>
      </c>
      <c r="AJ162" s="43">
        <f t="shared" si="49"/>
        <v>400432.8</v>
      </c>
      <c r="AK162" s="44">
        <f>VLOOKUP(D162,[1]apoio_Preços_MGS!$A$6:$AN$238,39,FALSE)</f>
        <v>136.36363636363637</v>
      </c>
      <c r="AL162" s="44">
        <f>IF(J162="demais municípios",VLOOKUP(D162,[1]apoio_Preços_MGS!$A$6:$AN$238,39,FALSE),0)</f>
        <v>136.36363636363637</v>
      </c>
      <c r="AM162" s="44">
        <v>0</v>
      </c>
      <c r="AN162" s="45">
        <f t="shared" si="70"/>
        <v>272.72727272727275</v>
      </c>
      <c r="AO162" s="44">
        <f>VLOOKUP(D162,[1]apoio_Preços_MGS!$A$6:$AN$238,40,FALSE)</f>
        <v>548.41999999999996</v>
      </c>
      <c r="AP162" s="44">
        <f>IF(J162="demais municípios",VLOOKUP(D162,[1]apoio_Preços_MGS!$A$6:$AN$238,40,FALSE),0)</f>
        <v>548.41999999999996</v>
      </c>
      <c r="AQ162" s="44">
        <v>0</v>
      </c>
      <c r="AR162" s="45">
        <f t="shared" si="71"/>
        <v>1096.8399999999999</v>
      </c>
      <c r="AS162" s="45">
        <f t="shared" si="60"/>
        <v>1369.5672727272727</v>
      </c>
      <c r="AT162" s="45">
        <f t="shared" si="63"/>
        <v>82174.036363636362</v>
      </c>
      <c r="AU162" s="62"/>
      <c r="AV162" s="46"/>
      <c r="AW162" s="47"/>
      <c r="AX162" s="48"/>
      <c r="AY162" s="49"/>
      <c r="BA162" s="48"/>
    </row>
    <row r="163" spans="1:53" ht="19.5" customHeight="1" x14ac:dyDescent="0.25">
      <c r="A163" s="33" t="str">
        <f t="shared" si="58"/>
        <v>106089300,05</v>
      </c>
      <c r="B163" s="33" t="str">
        <f t="shared" si="59"/>
        <v>2740,05</v>
      </c>
      <c r="C163" s="34" t="str">
        <f>VLOOKUP(D163,[1]apoio_Preços_MGS!$A$6:$B$238,2,FALSE)</f>
        <v>AUXILIAR DE LIMPEZA</v>
      </c>
      <c r="D163" s="35">
        <v>274</v>
      </c>
      <c r="E163" s="33" t="str">
        <f>VLOOKUP(D163,[1]apoio_Preços_MGS!$A$6:$F$238,6,FALSE)</f>
        <v>AUXILIAR DE LIMPEZA - DIARISTA DIURNO - 30H</v>
      </c>
      <c r="F163" s="36">
        <f>IFERROR(VLOOKUP(D163,'[1]apoio_cód catmas'!$B$2:$C$863,2,FALSE),0)</f>
        <v>106089</v>
      </c>
      <c r="G163" s="33" t="str">
        <f>IF(H163="N/A",VLOOKUP(F163&amp;40,'[1]apoio_cód catmas'!$A$1:$G$233,4,FALSE),VLOOKUP(F163&amp;H163,'[1]apoio_cód catmas'!$A$1:$G$233,4,FALSE))</f>
        <v>AUXILIAR DE LIMPEZA - 22H, 30H, 36H, 40H OU 44H</v>
      </c>
      <c r="H163" s="36">
        <v>30</v>
      </c>
      <c r="I163" s="37">
        <v>0.05</v>
      </c>
      <c r="J163" s="38" t="s">
        <v>47</v>
      </c>
      <c r="K163" s="39">
        <v>4</v>
      </c>
      <c r="L163" s="39">
        <f>K163*56</f>
        <v>224</v>
      </c>
      <c r="M163" s="40">
        <f>VLOOKUP(D163,[1]apoio_Preços_MGS!$A$6:$AN$238,18,FALSE)</f>
        <v>1223.683828479667</v>
      </c>
      <c r="N163" s="40">
        <f>VLOOKUP(D163,[1]apoio_Preços_MGS!$A$6:$AN$238,19,FALSE)</f>
        <v>0</v>
      </c>
      <c r="O163" s="40">
        <f>VLOOKUP(D163,[1]apoio_Preços_MGS!$A$6:$AN$238,20,FALSE)</f>
        <v>0</v>
      </c>
      <c r="P163" s="40">
        <f>VLOOKUP(D163,[1]apoio_Preços_MGS!$A$6:$AN$238,21,FALSE)</f>
        <v>0</v>
      </c>
      <c r="Q163" s="40">
        <f>VLOOKUP(D163,[1]apoio_Preços_MGS!$A$6:$AN$238,22,FALSE)</f>
        <v>0</v>
      </c>
      <c r="R163" s="40">
        <f>VLOOKUP(D163,[1]apoio_Preços_MGS!$A$6:$AN$238,23,FALSE)</f>
        <v>0</v>
      </c>
      <c r="S163" s="40">
        <f>VLOOKUP(D163,[1]apoio_Preços_MGS!$A$6:$AN$238,24,FALSE)</f>
        <v>0</v>
      </c>
      <c r="T163" s="40">
        <f>VLOOKUP(D163,[1]apoio_Preços_MGS!$A$6:$AN$238,25,FALSE)</f>
        <v>0</v>
      </c>
      <c r="U163" s="40">
        <f t="shared" si="43"/>
        <v>1223.683828479667</v>
      </c>
      <c r="V163" s="41">
        <v>0.81799999999999995</v>
      </c>
      <c r="W163" s="40">
        <f t="shared" si="44"/>
        <v>1000.9733716963675</v>
      </c>
      <c r="X163" s="40">
        <f>VLOOKUP(D163,[1]apoio_Preços_MGS!$A$6:$AN$238,29,FALSE)</f>
        <v>26.905000000000001</v>
      </c>
      <c r="Y163" s="40">
        <f>VLOOKUP(D163,[1]apoio_Preços_MGS!$A$6:$AN$238,30,FALSE)</f>
        <v>43.982906556598273</v>
      </c>
      <c r="Z163" s="40">
        <f t="shared" si="45"/>
        <v>70.887906556598267</v>
      </c>
      <c r="AA163" s="40">
        <f>VLOOKUP(D163,[1]apoio_Preços_MGS!$A$6:$AN$238,32,FALSE)</f>
        <v>2.3494729506809606</v>
      </c>
      <c r="AB163" s="40">
        <f>VLOOKUP(D163,[1]apoio_Preços_MGS!$A$6:$AN$238,33,FALSE)</f>
        <v>234.71648640699698</v>
      </c>
      <c r="AC163" s="41">
        <f>VLOOKUP(D163,[1]apoio_Preços_MGS!$A$6:$AN$238,34,FALSE)</f>
        <v>3.4323193950865784E-2</v>
      </c>
      <c r="AD163" s="40">
        <f>(U163+W163+Z163+AB163+AA163+VLOOKUP(C163,[1]apoio_Prec_Folha!$A:$S,7,FALSE))*AC163</f>
        <v>105.75085249696228</v>
      </c>
      <c r="AE163" s="42">
        <f>VLOOKUP(D163,[1]apoio_Preços_MGS!$A$6:$AN$238,36,FALSE)</f>
        <v>7.0000000000000007E-2</v>
      </c>
      <c r="AF163" s="40">
        <f>(U163+W163+Z163+AB163+AD163+AA163+VLOOKUP(C163,[1]apoio_Prec_Folha!$A:$S,7,FALSE))*AE163</f>
        <v>223.07478660635573</v>
      </c>
      <c r="AG163" s="40">
        <f t="shared" si="46"/>
        <v>2861.43</v>
      </c>
      <c r="AH163" s="43">
        <f t="shared" si="47"/>
        <v>3336.94</v>
      </c>
      <c r="AI163" s="43">
        <f t="shared" si="48"/>
        <v>13347.76</v>
      </c>
      <c r="AJ163" s="43">
        <f t="shared" si="49"/>
        <v>747474.56</v>
      </c>
      <c r="AK163" s="44">
        <f>VLOOKUP(D163,[1]apoio_Preços_MGS!$A$6:$AN$238,39,FALSE)</f>
        <v>136.36363636363637</v>
      </c>
      <c r="AL163" s="44">
        <f>IF(J163="demais municípios",VLOOKUP(D163,[1]apoio_Preços_MGS!$A$6:$AN$238,39,FALSE),0)</f>
        <v>0</v>
      </c>
      <c r="AM163" s="44">
        <f>TRUNC(ROUND(($I163)/(1-($I163)),5)*VLOOKUP(D163,[1]apoio_Preços_MGS!$A$6:$AN$238,39,FALSE)+VLOOKUP(D163,[1]apoio_Preços_MGS!$A$6:$AN$238,39,FALSE),2)</f>
        <v>143.54</v>
      </c>
      <c r="AN163" s="45">
        <f t="shared" si="61"/>
        <v>574.16</v>
      </c>
      <c r="AO163" s="44">
        <f>VLOOKUP(D163,[1]apoio_Preços_MGS!$A$6:$AN$238,40,FALSE)</f>
        <v>548.41999999999996</v>
      </c>
      <c r="AP163" s="44">
        <f>IF(J163="demais municípios",VLOOKUP(D163,[1]apoio_Preços_MGS!$A$6:$AN$238,40,FALSE),0)</f>
        <v>0</v>
      </c>
      <c r="AQ163" s="44">
        <f>TRUNC(ROUND(($I163)/(1-($I163)),5)*VLOOKUP(D163,[1]apoio_Preços_MGS!$A$6:$AN$238,40,FALSE)+VLOOKUP(D163,[1]apoio_Preços_MGS!$A$6:$AN$238,40,FALSE),2)</f>
        <v>577.28</v>
      </c>
      <c r="AR163" s="45">
        <f t="shared" si="62"/>
        <v>2309.12</v>
      </c>
      <c r="AS163" s="45">
        <f t="shared" si="60"/>
        <v>2883.2799999999997</v>
      </c>
      <c r="AT163" s="45">
        <f t="shared" si="63"/>
        <v>172996.8</v>
      </c>
      <c r="AU163" s="62"/>
      <c r="AV163" s="46"/>
      <c r="AW163" s="47"/>
      <c r="AX163" s="48"/>
      <c r="AY163" s="49"/>
      <c r="BA163" s="48"/>
    </row>
    <row r="164" spans="1:53" ht="19.5" customHeight="1" x14ac:dyDescent="0.25">
      <c r="A164" s="33" t="str">
        <f t="shared" si="58"/>
        <v>106089300,05</v>
      </c>
      <c r="B164" s="33" t="str">
        <f t="shared" si="59"/>
        <v>2740,05</v>
      </c>
      <c r="C164" s="34" t="str">
        <f>VLOOKUP(D164,[1]apoio_Preços_MGS!$A$6:$B$238,2,FALSE)</f>
        <v>AUXILIAR DE LIMPEZA</v>
      </c>
      <c r="D164" s="35">
        <v>274</v>
      </c>
      <c r="E164" s="33" t="str">
        <f>VLOOKUP(D164,[1]apoio_Preços_MGS!$A$6:$F$238,6,FALSE)</f>
        <v>AUXILIAR DE LIMPEZA - DIARISTA DIURNO - 30H</v>
      </c>
      <c r="F164" s="36">
        <f>IFERROR(VLOOKUP(D164,'[1]apoio_cód catmas'!$B$2:$C$863,2,FALSE),0)</f>
        <v>106089</v>
      </c>
      <c r="G164" s="33" t="str">
        <f>IF(H164="N/A",VLOOKUP(F164&amp;40,'[1]apoio_cód catmas'!$A$1:$G$233,4,FALSE),VLOOKUP(F164&amp;H164,'[1]apoio_cód catmas'!$A$1:$G$233,4,FALSE))</f>
        <v>AUXILIAR DE LIMPEZA - 22H, 30H, 36H, 40H OU 44H</v>
      </c>
      <c r="H164" s="36">
        <v>30</v>
      </c>
      <c r="I164" s="37">
        <v>0.05</v>
      </c>
      <c r="J164" s="38" t="s">
        <v>47</v>
      </c>
      <c r="K164" s="39">
        <v>2</v>
      </c>
      <c r="L164" s="39">
        <f t="shared" ref="L164" si="72">K164*60</f>
        <v>120</v>
      </c>
      <c r="M164" s="40">
        <f>VLOOKUP(D164,[1]apoio_Preços_MGS!$A$6:$AN$238,18,FALSE)</f>
        <v>1223.683828479667</v>
      </c>
      <c r="N164" s="40">
        <f>VLOOKUP(D164,[1]apoio_Preços_MGS!$A$6:$AN$238,19,FALSE)</f>
        <v>0</v>
      </c>
      <c r="O164" s="40">
        <f>VLOOKUP(D164,[1]apoio_Preços_MGS!$A$6:$AN$238,20,FALSE)</f>
        <v>0</v>
      </c>
      <c r="P164" s="40">
        <f>VLOOKUP(D164,[1]apoio_Preços_MGS!$A$6:$AN$238,21,FALSE)</f>
        <v>0</v>
      </c>
      <c r="Q164" s="40">
        <f>VLOOKUP(D164,[1]apoio_Preços_MGS!$A$6:$AN$238,22,FALSE)</f>
        <v>0</v>
      </c>
      <c r="R164" s="40">
        <f>VLOOKUP(D164,[1]apoio_Preços_MGS!$A$6:$AN$238,23,FALSE)</f>
        <v>0</v>
      </c>
      <c r="S164" s="40">
        <f>VLOOKUP(D164,[1]apoio_Preços_MGS!$A$6:$AN$238,24,FALSE)</f>
        <v>0</v>
      </c>
      <c r="T164" s="40">
        <f>VLOOKUP(D164,[1]apoio_Preços_MGS!$A$6:$AN$238,25,FALSE)</f>
        <v>0</v>
      </c>
      <c r="U164" s="40">
        <f t="shared" si="43"/>
        <v>1223.683828479667</v>
      </c>
      <c r="V164" s="41">
        <v>0.81799999999999995</v>
      </c>
      <c r="W164" s="40">
        <f t="shared" si="44"/>
        <v>1000.9733716963675</v>
      </c>
      <c r="X164" s="40">
        <f>VLOOKUP(D164,[1]apoio_Preços_MGS!$A$6:$AN$238,29,FALSE)</f>
        <v>26.905000000000001</v>
      </c>
      <c r="Y164" s="40">
        <f>VLOOKUP(D164,[1]apoio_Preços_MGS!$A$6:$AN$238,30,FALSE)</f>
        <v>43.982906556598273</v>
      </c>
      <c r="Z164" s="40">
        <f t="shared" si="45"/>
        <v>70.887906556598267</v>
      </c>
      <c r="AA164" s="40">
        <f>VLOOKUP(D164,[1]apoio_Preços_MGS!$A$6:$AN$238,32,FALSE)</f>
        <v>2.3494729506809606</v>
      </c>
      <c r="AB164" s="40">
        <f>VLOOKUP(D164,[1]apoio_Preços_MGS!$A$6:$AN$238,33,FALSE)</f>
        <v>234.71648640699698</v>
      </c>
      <c r="AC164" s="41">
        <f>VLOOKUP(D164,[1]apoio_Preços_MGS!$A$6:$AN$238,34,FALSE)</f>
        <v>3.4323193950865784E-2</v>
      </c>
      <c r="AD164" s="40">
        <f>(U164+W164+Z164+AB164+AA164+VLOOKUP(C164,[1]apoio_Prec_Folha!$A:$S,7,FALSE))*AC164</f>
        <v>105.75085249696228</v>
      </c>
      <c r="AE164" s="42">
        <f>VLOOKUP(D164,[1]apoio_Preços_MGS!$A$6:$AN$238,36,FALSE)</f>
        <v>7.0000000000000007E-2</v>
      </c>
      <c r="AF164" s="40">
        <f>(U164+W164+Z164+AB164+AD164+AA164+VLOOKUP(C164,[1]apoio_Prec_Folha!$A:$S,7,FALSE))*AE164</f>
        <v>223.07478660635573</v>
      </c>
      <c r="AG164" s="40">
        <f t="shared" si="46"/>
        <v>2861.43</v>
      </c>
      <c r="AH164" s="43">
        <f t="shared" si="47"/>
        <v>3336.94</v>
      </c>
      <c r="AI164" s="43">
        <f t="shared" si="48"/>
        <v>6673.88</v>
      </c>
      <c r="AJ164" s="43">
        <f t="shared" si="49"/>
        <v>400432.8</v>
      </c>
      <c r="AK164" s="44">
        <f>VLOOKUP(D164,[1]apoio_Preços_MGS!$A$6:$AN$238,39,FALSE)</f>
        <v>136.36363636363637</v>
      </c>
      <c r="AL164" s="44">
        <f>IF(J164="demais municípios",VLOOKUP(D164,[1]apoio_Preços_MGS!$A$6:$AN$238,39,FALSE),0)</f>
        <v>0</v>
      </c>
      <c r="AM164" s="44">
        <f>TRUNC(ROUND(($I164)/(1-($I164)),5)*VLOOKUP(D164,[1]apoio_Preços_MGS!$A$6:$AN$238,39,FALSE)+VLOOKUP(D164,[1]apoio_Preços_MGS!$A$6:$AN$238,39,FALSE),2)</f>
        <v>143.54</v>
      </c>
      <c r="AN164" s="45">
        <f t="shared" si="61"/>
        <v>287.08</v>
      </c>
      <c r="AO164" s="44">
        <f>VLOOKUP(D164,[1]apoio_Preços_MGS!$A$6:$AN$238,40,FALSE)</f>
        <v>548.41999999999996</v>
      </c>
      <c r="AP164" s="44">
        <f>IF(J164="demais municípios",VLOOKUP(D164,[1]apoio_Preços_MGS!$A$6:$AN$238,40,FALSE),0)</f>
        <v>0</v>
      </c>
      <c r="AQ164" s="44">
        <f>TRUNC(ROUND(($I164)/(1-($I164)),5)*VLOOKUP(D164,[1]apoio_Preços_MGS!$A$6:$AN$238,40,FALSE)+VLOOKUP(D164,[1]apoio_Preços_MGS!$A$6:$AN$238,40,FALSE),2)</f>
        <v>577.28</v>
      </c>
      <c r="AR164" s="45">
        <f t="shared" si="62"/>
        <v>1154.56</v>
      </c>
      <c r="AS164" s="45">
        <f t="shared" si="60"/>
        <v>1441.6399999999999</v>
      </c>
      <c r="AT164" s="45">
        <f t="shared" si="63"/>
        <v>86498.4</v>
      </c>
      <c r="AU164" s="62"/>
      <c r="AV164" s="46"/>
      <c r="AW164" s="47"/>
      <c r="AX164" s="48"/>
      <c r="AY164" s="49"/>
      <c r="BA164" s="48"/>
    </row>
    <row r="165" spans="1:53" ht="19.5" customHeight="1" x14ac:dyDescent="0.25">
      <c r="A165" s="33" t="str">
        <f t="shared" si="58"/>
        <v>106089400,02</v>
      </c>
      <c r="B165" s="33" t="str">
        <f t="shared" si="59"/>
        <v>2720,02</v>
      </c>
      <c r="C165" s="34" t="str">
        <f>VLOOKUP(D165,[1]apoio_Preços_MGS!$A$6:$B$238,2,FALSE)</f>
        <v>AUXILIAR DE LIMPEZA</v>
      </c>
      <c r="D165" s="35">
        <v>272</v>
      </c>
      <c r="E165" s="33" t="str">
        <f>VLOOKUP(D165,[1]apoio_Preços_MGS!$A$6:$F$238,6,FALSE)</f>
        <v>AUXILIAR DE LIMPEZA - DIARISTA DIURNO - 40H</v>
      </c>
      <c r="F165" s="36">
        <f>IFERROR(VLOOKUP(D165,'[1]apoio_cód catmas'!$B$2:$C$863,2,FALSE),0)</f>
        <v>106089</v>
      </c>
      <c r="G165" s="33" t="str">
        <f>IF(H165="N/A",VLOOKUP(F165&amp;40,'[1]apoio_cód catmas'!$A$1:$G$233,4,FALSE),VLOOKUP(F165&amp;H165,'[1]apoio_cód catmas'!$A$1:$G$233,4,FALSE))</f>
        <v>AUXILIAR DE LIMPEZA - 22H, 30H, 36H, 40H OU 44H</v>
      </c>
      <c r="H165" s="36">
        <v>40</v>
      </c>
      <c r="I165" s="37">
        <v>0.02</v>
      </c>
      <c r="J165" s="38" t="s">
        <v>46</v>
      </c>
      <c r="K165" s="39">
        <v>152</v>
      </c>
      <c r="L165" s="39">
        <f t="shared" si="42"/>
        <v>9120</v>
      </c>
      <c r="M165" s="40">
        <f>VLOOKUP(D165,[1]apoio_Preços_MGS!$A$6:$AN$238,18,FALSE)</f>
        <v>1631.5784379728893</v>
      </c>
      <c r="N165" s="40">
        <f>VLOOKUP(D165,[1]apoio_Preços_MGS!$A$6:$AN$238,19,FALSE)</f>
        <v>0</v>
      </c>
      <c r="O165" s="40">
        <f>VLOOKUP(D165,[1]apoio_Preços_MGS!$A$6:$AN$238,20,FALSE)</f>
        <v>0</v>
      </c>
      <c r="P165" s="40">
        <f>VLOOKUP(D165,[1]apoio_Preços_MGS!$A$6:$AN$238,21,FALSE)</f>
        <v>0</v>
      </c>
      <c r="Q165" s="40">
        <f>VLOOKUP(D165,[1]apoio_Preços_MGS!$A$6:$AN$238,22,FALSE)</f>
        <v>0</v>
      </c>
      <c r="R165" s="40">
        <f>VLOOKUP(D165,[1]apoio_Preços_MGS!$A$6:$AN$238,23,FALSE)</f>
        <v>0</v>
      </c>
      <c r="S165" s="40">
        <f>VLOOKUP(D165,[1]apoio_Preços_MGS!$A$6:$AN$238,24,FALSE)</f>
        <v>0</v>
      </c>
      <c r="T165" s="40">
        <f>VLOOKUP(D165,[1]apoio_Preços_MGS!$A$6:$AN$238,25,FALSE)</f>
        <v>0</v>
      </c>
      <c r="U165" s="40">
        <f t="shared" si="43"/>
        <v>1631.5784379728893</v>
      </c>
      <c r="V165" s="41">
        <v>0.81799999999999995</v>
      </c>
      <c r="W165" s="40">
        <f t="shared" si="44"/>
        <v>1334.6311622618234</v>
      </c>
      <c r="X165" s="40">
        <f>VLOOKUP(D165,[1]apoio_Preços_MGS!$A$6:$AN$238,29,FALSE)</f>
        <v>26.905000000000001</v>
      </c>
      <c r="Y165" s="40">
        <f>VLOOKUP(D165,[1]apoio_Preços_MGS!$A$6:$AN$238,30,FALSE)</f>
        <v>43.982906556598273</v>
      </c>
      <c r="Z165" s="40">
        <f t="shared" si="45"/>
        <v>70.887906556598267</v>
      </c>
      <c r="AA165" s="40">
        <f>VLOOKUP(D165,[1]apoio_Preços_MGS!$A$6:$AN$238,32,FALSE)</f>
        <v>3.1326306009079472</v>
      </c>
      <c r="AB165" s="40">
        <f>VLOOKUP(D165,[1]apoio_Preços_MGS!$A$6:$AN$238,33,FALSE)</f>
        <v>216.13681033386553</v>
      </c>
      <c r="AC165" s="41">
        <f>VLOOKUP(D165,[1]apoio_Preços_MGS!$A$6:$AN$238,34,FALSE)</f>
        <v>3.4323193950865784E-2</v>
      </c>
      <c r="AD165" s="40">
        <f>(U165+W165+Z165+AB165+AA165+VLOOKUP(C165,[1]apoio_Prec_Folha!$A:$S,7,FALSE))*AC165</f>
        <v>130.59246599542678</v>
      </c>
      <c r="AE165" s="42">
        <f>VLOOKUP(D165,[1]apoio_Preços_MGS!$A$6:$AN$238,36,FALSE)</f>
        <v>7.0000000000000007E-2</v>
      </c>
      <c r="AF165" s="40">
        <f>(U165+W165+Z165+AB165+AD165+AA165+VLOOKUP(C165,[1]apoio_Prec_Folha!$A:$S,7,FALSE))*AE165</f>
        <v>275.47661126575241</v>
      </c>
      <c r="AG165" s="40">
        <f t="shared" si="46"/>
        <v>3662.43</v>
      </c>
      <c r="AH165" s="43">
        <f t="shared" si="47"/>
        <v>4126.67</v>
      </c>
      <c r="AI165" s="43">
        <f t="shared" si="48"/>
        <v>627253.84</v>
      </c>
      <c r="AJ165" s="43">
        <f t="shared" si="49"/>
        <v>37635230.399999999</v>
      </c>
      <c r="AK165" s="44">
        <f>VLOOKUP(D165,[1]apoio_Preços_MGS!$A$6:$AN$238,39,FALSE)</f>
        <v>181.81818181818184</v>
      </c>
      <c r="AL165" s="44">
        <f>IF(J165="demais municípios",VLOOKUP(D165,[1]apoio_Preços_MGS!$A$6:$AN$238,39,FALSE),0)</f>
        <v>181.81818181818184</v>
      </c>
      <c r="AM165" s="44">
        <v>0</v>
      </c>
      <c r="AN165" s="45">
        <f t="shared" ref="AN165:AN174" si="73">AK165*K165</f>
        <v>27636.36363636364</v>
      </c>
      <c r="AO165" s="44">
        <f>VLOOKUP(D165,[1]apoio_Preços_MGS!$A$6:$AN$238,40,FALSE)</f>
        <v>548.41999999999996</v>
      </c>
      <c r="AP165" s="44">
        <f>IF(J165="demais municípios",VLOOKUP(D165,[1]apoio_Preços_MGS!$A$6:$AN$238,40,FALSE),0)</f>
        <v>548.41999999999996</v>
      </c>
      <c r="AQ165" s="44">
        <v>0</v>
      </c>
      <c r="AR165" s="45">
        <f t="shared" ref="AR165:AR174" si="74">AO165*K165</f>
        <v>83359.839999999997</v>
      </c>
      <c r="AS165" s="45">
        <f t="shared" si="60"/>
        <v>110996.20363636364</v>
      </c>
      <c r="AT165" s="45">
        <f t="shared" si="63"/>
        <v>6659772.2181818187</v>
      </c>
      <c r="AU165" s="62"/>
      <c r="AV165" s="46"/>
      <c r="AW165" s="47"/>
      <c r="AX165" s="48"/>
      <c r="AY165" s="49"/>
      <c r="BA165" s="48"/>
    </row>
    <row r="166" spans="1:53" ht="19.5" customHeight="1" x14ac:dyDescent="0.25">
      <c r="A166" s="33" t="str">
        <f t="shared" si="58"/>
        <v>106089400,025</v>
      </c>
      <c r="B166" s="33" t="str">
        <f t="shared" si="59"/>
        <v>2720,025</v>
      </c>
      <c r="C166" s="34" t="str">
        <f>VLOOKUP(D166,[1]apoio_Preços_MGS!$A$6:$B$238,2,FALSE)</f>
        <v>AUXILIAR DE LIMPEZA</v>
      </c>
      <c r="D166" s="35">
        <v>272</v>
      </c>
      <c r="E166" s="33" t="str">
        <f>VLOOKUP(D166,[1]apoio_Preços_MGS!$A$6:$F$238,6,FALSE)</f>
        <v>AUXILIAR DE LIMPEZA - DIARISTA DIURNO - 40H</v>
      </c>
      <c r="F166" s="36">
        <f>IFERROR(VLOOKUP(D166,'[1]apoio_cód catmas'!$B$2:$C$863,2,FALSE),0)</f>
        <v>106089</v>
      </c>
      <c r="G166" s="33" t="str">
        <f>IF(H166="N/A",VLOOKUP(F166&amp;40,'[1]apoio_cód catmas'!$A$1:$G$233,4,FALSE),VLOOKUP(F166&amp;H166,'[1]apoio_cód catmas'!$A$1:$G$233,4,FALSE))</f>
        <v>AUXILIAR DE LIMPEZA - 22H, 30H, 36H, 40H OU 44H</v>
      </c>
      <c r="H166" s="36">
        <v>40</v>
      </c>
      <c r="I166" s="37">
        <v>2.5000000000000001E-2</v>
      </c>
      <c r="J166" s="38" t="s">
        <v>46</v>
      </c>
      <c r="K166" s="39">
        <v>8</v>
      </c>
      <c r="L166" s="39">
        <f t="shared" si="42"/>
        <v>480</v>
      </c>
      <c r="M166" s="40">
        <f>VLOOKUP(D166,[1]apoio_Preços_MGS!$A$6:$AN$238,18,FALSE)</f>
        <v>1631.5784379728893</v>
      </c>
      <c r="N166" s="40">
        <f>VLOOKUP(D166,[1]apoio_Preços_MGS!$A$6:$AN$238,19,FALSE)</f>
        <v>0</v>
      </c>
      <c r="O166" s="40">
        <f>VLOOKUP(D166,[1]apoio_Preços_MGS!$A$6:$AN$238,20,FALSE)</f>
        <v>0</v>
      </c>
      <c r="P166" s="40">
        <f>VLOOKUP(D166,[1]apoio_Preços_MGS!$A$6:$AN$238,21,FALSE)</f>
        <v>0</v>
      </c>
      <c r="Q166" s="40">
        <f>VLOOKUP(D166,[1]apoio_Preços_MGS!$A$6:$AN$238,22,FALSE)</f>
        <v>0</v>
      </c>
      <c r="R166" s="40">
        <f>VLOOKUP(D166,[1]apoio_Preços_MGS!$A$6:$AN$238,23,FALSE)</f>
        <v>0</v>
      </c>
      <c r="S166" s="40">
        <f>VLOOKUP(D166,[1]apoio_Preços_MGS!$A$6:$AN$238,24,FALSE)</f>
        <v>0</v>
      </c>
      <c r="T166" s="40">
        <f>VLOOKUP(D166,[1]apoio_Preços_MGS!$A$6:$AN$238,25,FALSE)</f>
        <v>0</v>
      </c>
      <c r="U166" s="40">
        <f t="shared" si="43"/>
        <v>1631.5784379728893</v>
      </c>
      <c r="V166" s="41">
        <v>0.81799999999999995</v>
      </c>
      <c r="W166" s="40">
        <f t="shared" si="44"/>
        <v>1334.6311622618234</v>
      </c>
      <c r="X166" s="40">
        <f>VLOOKUP(D166,[1]apoio_Preços_MGS!$A$6:$AN$238,29,FALSE)</f>
        <v>26.905000000000001</v>
      </c>
      <c r="Y166" s="40">
        <f>VLOOKUP(D166,[1]apoio_Preços_MGS!$A$6:$AN$238,30,FALSE)</f>
        <v>43.982906556598273</v>
      </c>
      <c r="Z166" s="40">
        <f t="shared" si="45"/>
        <v>70.887906556598267</v>
      </c>
      <c r="AA166" s="40">
        <f>VLOOKUP(D166,[1]apoio_Preços_MGS!$A$6:$AN$238,32,FALSE)</f>
        <v>3.1326306009079472</v>
      </c>
      <c r="AB166" s="40">
        <f>VLOOKUP(D166,[1]apoio_Preços_MGS!$A$6:$AN$238,33,FALSE)</f>
        <v>216.13681033386553</v>
      </c>
      <c r="AC166" s="41">
        <f>VLOOKUP(D166,[1]apoio_Preços_MGS!$A$6:$AN$238,34,FALSE)</f>
        <v>3.4323193950865784E-2</v>
      </c>
      <c r="AD166" s="40">
        <f>(U166+W166+Z166+AB166+AA166+VLOOKUP(C166,[1]apoio_Prec_Folha!$A:$S,7,FALSE))*AC166</f>
        <v>130.59246599542678</v>
      </c>
      <c r="AE166" s="42">
        <f>VLOOKUP(D166,[1]apoio_Preços_MGS!$A$6:$AN$238,36,FALSE)</f>
        <v>7.0000000000000007E-2</v>
      </c>
      <c r="AF166" s="40">
        <f>(U166+W166+Z166+AB166+AD166+AA166+VLOOKUP(C166,[1]apoio_Prec_Folha!$A:$S,7,FALSE))*AE166</f>
        <v>275.47661126575241</v>
      </c>
      <c r="AG166" s="40">
        <f t="shared" si="46"/>
        <v>3662.43</v>
      </c>
      <c r="AH166" s="43">
        <f t="shared" si="47"/>
        <v>4150.04</v>
      </c>
      <c r="AI166" s="43">
        <f t="shared" si="48"/>
        <v>33200.32</v>
      </c>
      <c r="AJ166" s="43">
        <f t="shared" si="49"/>
        <v>1992019.2</v>
      </c>
      <c r="AK166" s="44">
        <f>VLOOKUP(D166,[1]apoio_Preços_MGS!$A$6:$AN$238,39,FALSE)</f>
        <v>181.81818181818184</v>
      </c>
      <c r="AL166" s="44">
        <f>IF(J166="demais municípios",VLOOKUP(D166,[1]apoio_Preços_MGS!$A$6:$AN$238,39,FALSE),0)</f>
        <v>181.81818181818184</v>
      </c>
      <c r="AM166" s="44">
        <v>0</v>
      </c>
      <c r="AN166" s="45">
        <f t="shared" si="73"/>
        <v>1454.5454545454547</v>
      </c>
      <c r="AO166" s="44">
        <f>VLOOKUP(D166,[1]apoio_Preços_MGS!$A$6:$AN$238,40,FALSE)</f>
        <v>548.41999999999996</v>
      </c>
      <c r="AP166" s="44">
        <f>IF(J166="demais municípios",VLOOKUP(D166,[1]apoio_Preços_MGS!$A$6:$AN$238,40,FALSE),0)</f>
        <v>548.41999999999996</v>
      </c>
      <c r="AQ166" s="44">
        <v>0</v>
      </c>
      <c r="AR166" s="45">
        <f t="shared" si="74"/>
        <v>4387.3599999999997</v>
      </c>
      <c r="AS166" s="45">
        <f t="shared" si="60"/>
        <v>5841.9054545454546</v>
      </c>
      <c r="AT166" s="45">
        <f t="shared" si="63"/>
        <v>350514.32727272727</v>
      </c>
      <c r="AU166" s="62"/>
      <c r="AV166" s="46"/>
      <c r="AW166" s="47"/>
      <c r="AX166" s="48"/>
      <c r="AY166" s="49"/>
      <c r="BA166" s="48"/>
    </row>
    <row r="167" spans="1:53" ht="19.5" customHeight="1" x14ac:dyDescent="0.25">
      <c r="A167" s="33" t="str">
        <f t="shared" si="58"/>
        <v>106089400,027</v>
      </c>
      <c r="B167" s="33" t="str">
        <f t="shared" si="59"/>
        <v>2720,027</v>
      </c>
      <c r="C167" s="34" t="str">
        <f>VLOOKUP(D167,[1]apoio_Preços_MGS!$A$6:$B$238,2,FALSE)</f>
        <v>AUXILIAR DE LIMPEZA</v>
      </c>
      <c r="D167" s="35">
        <v>272</v>
      </c>
      <c r="E167" s="33" t="str">
        <f>VLOOKUP(D167,[1]apoio_Preços_MGS!$A$6:$F$238,6,FALSE)</f>
        <v>AUXILIAR DE LIMPEZA - DIARISTA DIURNO - 40H</v>
      </c>
      <c r="F167" s="36">
        <f>IFERROR(VLOOKUP(D167,'[1]apoio_cód catmas'!$B$2:$C$863,2,FALSE),0)</f>
        <v>106089</v>
      </c>
      <c r="G167" s="33" t="str">
        <f>IF(H167="N/A",VLOOKUP(F167&amp;40,'[1]apoio_cód catmas'!$A$1:$G$233,4,FALSE),VLOOKUP(F167&amp;H167,'[1]apoio_cód catmas'!$A$1:$G$233,4,FALSE))</f>
        <v>AUXILIAR DE LIMPEZA - 22H, 30H, 36H, 40H OU 44H</v>
      </c>
      <c r="H167" s="36">
        <v>40</v>
      </c>
      <c r="I167" s="37">
        <v>2.7000000000000003E-2</v>
      </c>
      <c r="J167" s="38" t="s">
        <v>46</v>
      </c>
      <c r="K167" s="39">
        <v>6</v>
      </c>
      <c r="L167" s="39">
        <f t="shared" si="42"/>
        <v>360</v>
      </c>
      <c r="M167" s="40">
        <f>VLOOKUP(D167,[1]apoio_Preços_MGS!$A$6:$AN$238,18,FALSE)</f>
        <v>1631.5784379728893</v>
      </c>
      <c r="N167" s="40">
        <f>VLOOKUP(D167,[1]apoio_Preços_MGS!$A$6:$AN$238,19,FALSE)</f>
        <v>0</v>
      </c>
      <c r="O167" s="40">
        <f>VLOOKUP(D167,[1]apoio_Preços_MGS!$A$6:$AN$238,20,FALSE)</f>
        <v>0</v>
      </c>
      <c r="P167" s="40">
        <f>VLOOKUP(D167,[1]apoio_Preços_MGS!$A$6:$AN$238,21,FALSE)</f>
        <v>0</v>
      </c>
      <c r="Q167" s="40">
        <f>VLOOKUP(D167,[1]apoio_Preços_MGS!$A$6:$AN$238,22,FALSE)</f>
        <v>0</v>
      </c>
      <c r="R167" s="40">
        <f>VLOOKUP(D167,[1]apoio_Preços_MGS!$A$6:$AN$238,23,FALSE)</f>
        <v>0</v>
      </c>
      <c r="S167" s="40">
        <f>VLOOKUP(D167,[1]apoio_Preços_MGS!$A$6:$AN$238,24,FALSE)</f>
        <v>0</v>
      </c>
      <c r="T167" s="40">
        <f>VLOOKUP(D167,[1]apoio_Preços_MGS!$A$6:$AN$238,25,FALSE)</f>
        <v>0</v>
      </c>
      <c r="U167" s="40">
        <f t="shared" si="43"/>
        <v>1631.5784379728893</v>
      </c>
      <c r="V167" s="41">
        <v>0.81799999999999995</v>
      </c>
      <c r="W167" s="40">
        <f t="shared" si="44"/>
        <v>1334.6311622618234</v>
      </c>
      <c r="X167" s="40">
        <f>VLOOKUP(D167,[1]apoio_Preços_MGS!$A$6:$AN$238,29,FALSE)</f>
        <v>26.905000000000001</v>
      </c>
      <c r="Y167" s="40">
        <f>VLOOKUP(D167,[1]apoio_Preços_MGS!$A$6:$AN$238,30,FALSE)</f>
        <v>43.982906556598273</v>
      </c>
      <c r="Z167" s="40">
        <f t="shared" si="45"/>
        <v>70.887906556598267</v>
      </c>
      <c r="AA167" s="40">
        <f>VLOOKUP(D167,[1]apoio_Preços_MGS!$A$6:$AN$238,32,FALSE)</f>
        <v>3.1326306009079472</v>
      </c>
      <c r="AB167" s="40">
        <f>VLOOKUP(D167,[1]apoio_Preços_MGS!$A$6:$AN$238,33,FALSE)</f>
        <v>216.13681033386553</v>
      </c>
      <c r="AC167" s="41">
        <f>VLOOKUP(D167,[1]apoio_Preços_MGS!$A$6:$AN$238,34,FALSE)</f>
        <v>3.4323193950865784E-2</v>
      </c>
      <c r="AD167" s="40">
        <f>(U167+W167+Z167+AB167+AA167+VLOOKUP(C167,[1]apoio_Prec_Folha!$A:$S,7,FALSE))*AC167</f>
        <v>130.59246599542678</v>
      </c>
      <c r="AE167" s="42">
        <f>VLOOKUP(D167,[1]apoio_Preços_MGS!$A$6:$AN$238,36,FALSE)</f>
        <v>7.0000000000000007E-2</v>
      </c>
      <c r="AF167" s="40">
        <f>(U167+W167+Z167+AB167+AD167+AA167+VLOOKUP(C167,[1]apoio_Prec_Folha!$A:$S,7,FALSE))*AE167</f>
        <v>275.47661126575241</v>
      </c>
      <c r="AG167" s="40">
        <f t="shared" si="46"/>
        <v>3662.43</v>
      </c>
      <c r="AH167" s="43">
        <f t="shared" si="47"/>
        <v>4159.49</v>
      </c>
      <c r="AI167" s="43">
        <f t="shared" si="48"/>
        <v>24956.94</v>
      </c>
      <c r="AJ167" s="43">
        <f t="shared" si="49"/>
        <v>1497416.4</v>
      </c>
      <c r="AK167" s="44">
        <f>VLOOKUP(D167,[1]apoio_Preços_MGS!$A$6:$AN$238,39,FALSE)</f>
        <v>181.81818181818184</v>
      </c>
      <c r="AL167" s="44">
        <f>IF(J167="demais municípios",VLOOKUP(D167,[1]apoio_Preços_MGS!$A$6:$AN$238,39,FALSE),0)</f>
        <v>181.81818181818184</v>
      </c>
      <c r="AM167" s="44">
        <v>0</v>
      </c>
      <c r="AN167" s="45">
        <f t="shared" si="73"/>
        <v>1090.909090909091</v>
      </c>
      <c r="AO167" s="44">
        <f>VLOOKUP(D167,[1]apoio_Preços_MGS!$A$6:$AN$238,40,FALSE)</f>
        <v>548.41999999999996</v>
      </c>
      <c r="AP167" s="44">
        <f>IF(J167="demais municípios",VLOOKUP(D167,[1]apoio_Preços_MGS!$A$6:$AN$238,40,FALSE),0)</f>
        <v>548.41999999999996</v>
      </c>
      <c r="AQ167" s="44">
        <v>0</v>
      </c>
      <c r="AR167" s="45">
        <f t="shared" si="74"/>
        <v>3290.5199999999995</v>
      </c>
      <c r="AS167" s="45">
        <f t="shared" si="60"/>
        <v>4381.4290909090905</v>
      </c>
      <c r="AT167" s="45">
        <f t="shared" si="63"/>
        <v>262885.74545454542</v>
      </c>
      <c r="AU167" s="62"/>
      <c r="AV167" s="46"/>
      <c r="AW167" s="47"/>
      <c r="AX167" s="48"/>
      <c r="AY167" s="49"/>
      <c r="BA167" s="48"/>
    </row>
    <row r="168" spans="1:53" ht="19.5" customHeight="1" x14ac:dyDescent="0.25">
      <c r="A168" s="33" t="str">
        <f t="shared" si="58"/>
        <v>106089400,03</v>
      </c>
      <c r="B168" s="33" t="str">
        <f t="shared" si="59"/>
        <v>2720,03</v>
      </c>
      <c r="C168" s="34" t="str">
        <f>VLOOKUP(D168,[1]apoio_Preços_MGS!$A$6:$B$238,2,FALSE)</f>
        <v>AUXILIAR DE LIMPEZA</v>
      </c>
      <c r="D168" s="35">
        <v>272</v>
      </c>
      <c r="E168" s="33" t="str">
        <f>VLOOKUP(D168,[1]apoio_Preços_MGS!$A$6:$F$238,6,FALSE)</f>
        <v>AUXILIAR DE LIMPEZA - DIARISTA DIURNO - 40H</v>
      </c>
      <c r="F168" s="36">
        <f>IFERROR(VLOOKUP(D168,'[1]apoio_cód catmas'!$B$2:$C$863,2,FALSE),0)</f>
        <v>106089</v>
      </c>
      <c r="G168" s="33" t="str">
        <f>IF(H168="N/A",VLOOKUP(F168&amp;40,'[1]apoio_cód catmas'!$A$1:$G$233,4,FALSE),VLOOKUP(F168&amp;H168,'[1]apoio_cód catmas'!$A$1:$G$233,4,FALSE))</f>
        <v>AUXILIAR DE LIMPEZA - 22H, 30H, 36H, 40H OU 44H</v>
      </c>
      <c r="H168" s="36">
        <v>40</v>
      </c>
      <c r="I168" s="37">
        <v>0.03</v>
      </c>
      <c r="J168" s="38" t="s">
        <v>46</v>
      </c>
      <c r="K168" s="39">
        <f>300-12</f>
        <v>288</v>
      </c>
      <c r="L168" s="39">
        <f t="shared" si="42"/>
        <v>17280</v>
      </c>
      <c r="M168" s="40">
        <f>VLOOKUP(D168,[1]apoio_Preços_MGS!$A$6:$AN$238,18,FALSE)</f>
        <v>1631.5784379728893</v>
      </c>
      <c r="N168" s="40">
        <f>VLOOKUP(D168,[1]apoio_Preços_MGS!$A$6:$AN$238,19,FALSE)</f>
        <v>0</v>
      </c>
      <c r="O168" s="40">
        <f>VLOOKUP(D168,[1]apoio_Preços_MGS!$A$6:$AN$238,20,FALSE)</f>
        <v>0</v>
      </c>
      <c r="P168" s="40">
        <f>VLOOKUP(D168,[1]apoio_Preços_MGS!$A$6:$AN$238,21,FALSE)</f>
        <v>0</v>
      </c>
      <c r="Q168" s="40">
        <f>VLOOKUP(D168,[1]apoio_Preços_MGS!$A$6:$AN$238,22,FALSE)</f>
        <v>0</v>
      </c>
      <c r="R168" s="40">
        <f>VLOOKUP(D168,[1]apoio_Preços_MGS!$A$6:$AN$238,23,FALSE)</f>
        <v>0</v>
      </c>
      <c r="S168" s="40">
        <f>VLOOKUP(D168,[1]apoio_Preços_MGS!$A$6:$AN$238,24,FALSE)</f>
        <v>0</v>
      </c>
      <c r="T168" s="40">
        <f>VLOOKUP(D168,[1]apoio_Preços_MGS!$A$6:$AN$238,25,FALSE)</f>
        <v>0</v>
      </c>
      <c r="U168" s="40">
        <f t="shared" si="43"/>
        <v>1631.5784379728893</v>
      </c>
      <c r="V168" s="41">
        <v>0.81799999999999995</v>
      </c>
      <c r="W168" s="40">
        <f t="shared" si="44"/>
        <v>1334.6311622618234</v>
      </c>
      <c r="X168" s="40">
        <f>VLOOKUP(D168,[1]apoio_Preços_MGS!$A$6:$AN$238,29,FALSE)</f>
        <v>26.905000000000001</v>
      </c>
      <c r="Y168" s="40">
        <f>VLOOKUP(D168,[1]apoio_Preços_MGS!$A$6:$AN$238,30,FALSE)</f>
        <v>43.982906556598273</v>
      </c>
      <c r="Z168" s="40">
        <f t="shared" si="45"/>
        <v>70.887906556598267</v>
      </c>
      <c r="AA168" s="40">
        <f>VLOOKUP(D168,[1]apoio_Preços_MGS!$A$6:$AN$238,32,FALSE)</f>
        <v>3.1326306009079472</v>
      </c>
      <c r="AB168" s="40">
        <f>VLOOKUP(D168,[1]apoio_Preços_MGS!$A$6:$AN$238,33,FALSE)</f>
        <v>216.13681033386553</v>
      </c>
      <c r="AC168" s="41">
        <f>VLOOKUP(D168,[1]apoio_Preços_MGS!$A$6:$AN$238,34,FALSE)</f>
        <v>3.4323193950865784E-2</v>
      </c>
      <c r="AD168" s="40">
        <f>(U168+W168+Z168+AB168+AA168+VLOOKUP(C168,[1]apoio_Prec_Folha!$A:$S,7,FALSE))*AC168</f>
        <v>130.59246599542678</v>
      </c>
      <c r="AE168" s="42">
        <f>VLOOKUP(D168,[1]apoio_Preços_MGS!$A$6:$AN$238,36,FALSE)</f>
        <v>7.0000000000000007E-2</v>
      </c>
      <c r="AF168" s="40">
        <f>(U168+W168+Z168+AB168+AD168+AA168+VLOOKUP(C168,[1]apoio_Prec_Folha!$A:$S,7,FALSE))*AE168</f>
        <v>275.47661126575241</v>
      </c>
      <c r="AG168" s="40">
        <f t="shared" si="46"/>
        <v>3662.43</v>
      </c>
      <c r="AH168" s="43">
        <f t="shared" si="47"/>
        <v>4173.7</v>
      </c>
      <c r="AI168" s="43">
        <f t="shared" si="48"/>
        <v>1202025.5999999999</v>
      </c>
      <c r="AJ168" s="43">
        <f t="shared" si="49"/>
        <v>72121536</v>
      </c>
      <c r="AK168" s="44">
        <f>VLOOKUP(D168,[1]apoio_Preços_MGS!$A$6:$AN$238,39,FALSE)</f>
        <v>181.81818181818184</v>
      </c>
      <c r="AL168" s="44">
        <f>IF(J168="demais municípios",VLOOKUP(D168,[1]apoio_Preços_MGS!$A$6:$AN$238,39,FALSE),0)</f>
        <v>181.81818181818184</v>
      </c>
      <c r="AM168" s="44">
        <v>0</v>
      </c>
      <c r="AN168" s="45">
        <f t="shared" si="73"/>
        <v>52363.636363636368</v>
      </c>
      <c r="AO168" s="44">
        <f>VLOOKUP(D168,[1]apoio_Preços_MGS!$A$6:$AN$238,40,FALSE)</f>
        <v>548.41999999999996</v>
      </c>
      <c r="AP168" s="44">
        <f>IF(J168="demais municípios",VLOOKUP(D168,[1]apoio_Preços_MGS!$A$6:$AN$238,40,FALSE),0)</f>
        <v>548.41999999999996</v>
      </c>
      <c r="AQ168" s="44">
        <v>0</v>
      </c>
      <c r="AR168" s="45">
        <f t="shared" si="74"/>
        <v>157944.95999999999</v>
      </c>
      <c r="AS168" s="45">
        <f t="shared" si="60"/>
        <v>210308.59636363637</v>
      </c>
      <c r="AT168" s="45">
        <f t="shared" si="63"/>
        <v>12618515.781818183</v>
      </c>
      <c r="AU168" s="62"/>
      <c r="AV168" s="46"/>
      <c r="AW168" s="47"/>
      <c r="AX168" s="48"/>
      <c r="AY168" s="49"/>
      <c r="BA168" s="48"/>
    </row>
    <row r="169" spans="1:53" ht="19.5" customHeight="1" x14ac:dyDescent="0.25">
      <c r="A169" s="33" t="str">
        <f t="shared" si="58"/>
        <v>106089400,03</v>
      </c>
      <c r="B169" s="33" t="str">
        <f t="shared" si="59"/>
        <v>2720,03</v>
      </c>
      <c r="C169" s="34" t="str">
        <f>VLOOKUP(D169,[1]apoio_Preços_MGS!$A$6:$B$238,2,FALSE)</f>
        <v>AUXILIAR DE LIMPEZA</v>
      </c>
      <c r="D169" s="35">
        <v>272</v>
      </c>
      <c r="E169" s="33" t="str">
        <f>VLOOKUP(D169,[1]apoio_Preços_MGS!$A$6:$F$238,6,FALSE)</f>
        <v>AUXILIAR DE LIMPEZA - DIARISTA DIURNO - 40H</v>
      </c>
      <c r="F169" s="36">
        <f>IFERROR(VLOOKUP(D169,'[1]apoio_cód catmas'!$B$2:$C$863,2,FALSE),0)</f>
        <v>106089</v>
      </c>
      <c r="G169" s="33" t="str">
        <f>IF(H169="N/A",VLOOKUP(F169&amp;40,'[1]apoio_cód catmas'!$A$1:$G$233,4,FALSE),VLOOKUP(F169&amp;H169,'[1]apoio_cód catmas'!$A$1:$G$233,4,FALSE))</f>
        <v>AUXILIAR DE LIMPEZA - 22H, 30H, 36H, 40H OU 44H</v>
      </c>
      <c r="H169" s="36">
        <v>40</v>
      </c>
      <c r="I169" s="37">
        <v>0.03</v>
      </c>
      <c r="J169" s="38" t="s">
        <v>46</v>
      </c>
      <c r="K169" s="39">
        <v>3</v>
      </c>
      <c r="L169" s="39">
        <f>K169*56</f>
        <v>168</v>
      </c>
      <c r="M169" s="40">
        <f>VLOOKUP(D169,[1]apoio_Preços_MGS!$A$6:$AN$238,18,FALSE)</f>
        <v>1631.5784379728893</v>
      </c>
      <c r="N169" s="40">
        <f>VLOOKUP(D169,[1]apoio_Preços_MGS!$A$6:$AN$238,19,FALSE)</f>
        <v>0</v>
      </c>
      <c r="O169" s="40">
        <f>VLOOKUP(D169,[1]apoio_Preços_MGS!$A$6:$AN$238,20,FALSE)</f>
        <v>0</v>
      </c>
      <c r="P169" s="40">
        <f>VLOOKUP(D169,[1]apoio_Preços_MGS!$A$6:$AN$238,21,FALSE)</f>
        <v>0</v>
      </c>
      <c r="Q169" s="40">
        <f>VLOOKUP(D169,[1]apoio_Preços_MGS!$A$6:$AN$238,22,FALSE)</f>
        <v>0</v>
      </c>
      <c r="R169" s="40">
        <f>VLOOKUP(D169,[1]apoio_Preços_MGS!$A$6:$AN$238,23,FALSE)</f>
        <v>0</v>
      </c>
      <c r="S169" s="40">
        <f>VLOOKUP(D169,[1]apoio_Preços_MGS!$A$6:$AN$238,24,FALSE)</f>
        <v>0</v>
      </c>
      <c r="T169" s="40">
        <f>VLOOKUP(D169,[1]apoio_Preços_MGS!$A$6:$AN$238,25,FALSE)</f>
        <v>0</v>
      </c>
      <c r="U169" s="40">
        <f t="shared" ref="U169:U232" si="75">SUM(M169:T169)</f>
        <v>1631.5784379728893</v>
      </c>
      <c r="V169" s="41">
        <v>0.81799999999999995</v>
      </c>
      <c r="W169" s="40">
        <f t="shared" ref="W169:W232" si="76">U169*V169</f>
        <v>1334.6311622618234</v>
      </c>
      <c r="X169" s="40">
        <f>VLOOKUP(D169,[1]apoio_Preços_MGS!$A$6:$AN$238,29,FALSE)</f>
        <v>26.905000000000001</v>
      </c>
      <c r="Y169" s="40">
        <f>VLOOKUP(D169,[1]apoio_Preços_MGS!$A$6:$AN$238,30,FALSE)</f>
        <v>43.982906556598273</v>
      </c>
      <c r="Z169" s="40">
        <f t="shared" si="45"/>
        <v>70.887906556598267</v>
      </c>
      <c r="AA169" s="40">
        <f>VLOOKUP(D169,[1]apoio_Preços_MGS!$A$6:$AN$238,32,FALSE)</f>
        <v>3.1326306009079472</v>
      </c>
      <c r="AB169" s="40">
        <f>VLOOKUP(D169,[1]apoio_Preços_MGS!$A$6:$AN$238,33,FALSE)</f>
        <v>216.13681033386553</v>
      </c>
      <c r="AC169" s="41">
        <f>VLOOKUP(D169,[1]apoio_Preços_MGS!$A$6:$AN$238,34,FALSE)</f>
        <v>3.4323193950865784E-2</v>
      </c>
      <c r="AD169" s="40">
        <f>(U169+W169+Z169+AB169+AA169+VLOOKUP(C169,[1]apoio_Prec_Folha!$A:$S,7,FALSE))*AC169</f>
        <v>130.59246599542678</v>
      </c>
      <c r="AE169" s="42">
        <f>VLOOKUP(D169,[1]apoio_Preços_MGS!$A$6:$AN$238,36,FALSE)</f>
        <v>7.0000000000000007E-2</v>
      </c>
      <c r="AF169" s="40">
        <f>(U169+W169+Z169+AB169+AD169+AA169+VLOOKUP(C169,[1]apoio_Prec_Folha!$A:$S,7,FALSE))*AE169</f>
        <v>275.47661126575241</v>
      </c>
      <c r="AG169" s="40">
        <f t="shared" si="46"/>
        <v>3662.43</v>
      </c>
      <c r="AH169" s="43">
        <f t="shared" si="47"/>
        <v>4173.7</v>
      </c>
      <c r="AI169" s="43">
        <f t="shared" si="48"/>
        <v>12521.099999999999</v>
      </c>
      <c r="AJ169" s="43">
        <f t="shared" si="49"/>
        <v>701181.6</v>
      </c>
      <c r="AK169" s="44">
        <f>VLOOKUP(D169,[1]apoio_Preços_MGS!$A$6:$AN$238,39,FALSE)</f>
        <v>181.81818181818184</v>
      </c>
      <c r="AL169" s="44">
        <f>IF(J169="demais municípios",VLOOKUP(D169,[1]apoio_Preços_MGS!$A$6:$AN$238,39,FALSE),0)</f>
        <v>181.81818181818184</v>
      </c>
      <c r="AM169" s="44">
        <v>0</v>
      </c>
      <c r="AN169" s="45">
        <f t="shared" si="73"/>
        <v>545.4545454545455</v>
      </c>
      <c r="AO169" s="44">
        <f>VLOOKUP(D169,[1]apoio_Preços_MGS!$A$6:$AN$238,40,FALSE)</f>
        <v>548.41999999999996</v>
      </c>
      <c r="AP169" s="44">
        <f>IF(J169="demais municípios",VLOOKUP(D169,[1]apoio_Preços_MGS!$A$6:$AN$238,40,FALSE),0)</f>
        <v>548.41999999999996</v>
      </c>
      <c r="AQ169" s="44">
        <v>0</v>
      </c>
      <c r="AR169" s="45">
        <f t="shared" si="74"/>
        <v>1645.2599999999998</v>
      </c>
      <c r="AS169" s="45">
        <f t="shared" si="60"/>
        <v>2190.7145454545453</v>
      </c>
      <c r="AT169" s="45">
        <f t="shared" si="63"/>
        <v>131442.87272727271</v>
      </c>
      <c r="AU169" s="62"/>
      <c r="AV169" s="46"/>
      <c r="AW169" s="47"/>
      <c r="AX169" s="48"/>
      <c r="AY169" s="49"/>
      <c r="BA169" s="48"/>
    </row>
    <row r="170" spans="1:53" ht="19.5" customHeight="1" x14ac:dyDescent="0.25">
      <c r="A170" s="33" t="str">
        <f t="shared" si="58"/>
        <v>106089400,035</v>
      </c>
      <c r="B170" s="33" t="str">
        <f t="shared" si="59"/>
        <v>2720,035</v>
      </c>
      <c r="C170" s="34" t="str">
        <f>VLOOKUP(D170,[1]apoio_Preços_MGS!$A$6:$B$238,2,FALSE)</f>
        <v>AUXILIAR DE LIMPEZA</v>
      </c>
      <c r="D170" s="35">
        <v>272</v>
      </c>
      <c r="E170" s="33" t="str">
        <f>VLOOKUP(D170,[1]apoio_Preços_MGS!$A$6:$F$238,6,FALSE)</f>
        <v>AUXILIAR DE LIMPEZA - DIARISTA DIURNO - 40H</v>
      </c>
      <c r="F170" s="36">
        <f>IFERROR(VLOOKUP(D170,'[1]apoio_cód catmas'!$B$2:$C$863,2,FALSE),0)</f>
        <v>106089</v>
      </c>
      <c r="G170" s="33" t="str">
        <f>IF(H170="N/A",VLOOKUP(F170&amp;40,'[1]apoio_cód catmas'!$A$1:$G$233,4,FALSE),VLOOKUP(F170&amp;H170,'[1]apoio_cód catmas'!$A$1:$G$233,4,FALSE))</f>
        <v>AUXILIAR DE LIMPEZA - 22H, 30H, 36H, 40H OU 44H</v>
      </c>
      <c r="H170" s="36">
        <v>40</v>
      </c>
      <c r="I170" s="37">
        <v>3.5000000000000003E-2</v>
      </c>
      <c r="J170" s="38" t="s">
        <v>46</v>
      </c>
      <c r="K170" s="39">
        <v>46</v>
      </c>
      <c r="L170" s="39">
        <f t="shared" ref="L170:L246" si="77">K170*60</f>
        <v>2760</v>
      </c>
      <c r="M170" s="40">
        <f>VLOOKUP(D170,[1]apoio_Preços_MGS!$A$6:$AN$238,18,FALSE)</f>
        <v>1631.5784379728893</v>
      </c>
      <c r="N170" s="40">
        <f>VLOOKUP(D170,[1]apoio_Preços_MGS!$A$6:$AN$238,19,FALSE)</f>
        <v>0</v>
      </c>
      <c r="O170" s="40">
        <f>VLOOKUP(D170,[1]apoio_Preços_MGS!$A$6:$AN$238,20,FALSE)</f>
        <v>0</v>
      </c>
      <c r="P170" s="40">
        <f>VLOOKUP(D170,[1]apoio_Preços_MGS!$A$6:$AN$238,21,FALSE)</f>
        <v>0</v>
      </c>
      <c r="Q170" s="40">
        <f>VLOOKUP(D170,[1]apoio_Preços_MGS!$A$6:$AN$238,22,FALSE)</f>
        <v>0</v>
      </c>
      <c r="R170" s="40">
        <f>VLOOKUP(D170,[1]apoio_Preços_MGS!$A$6:$AN$238,23,FALSE)</f>
        <v>0</v>
      </c>
      <c r="S170" s="40">
        <f>VLOOKUP(D170,[1]apoio_Preços_MGS!$A$6:$AN$238,24,FALSE)</f>
        <v>0</v>
      </c>
      <c r="T170" s="40">
        <f>VLOOKUP(D170,[1]apoio_Preços_MGS!$A$6:$AN$238,25,FALSE)</f>
        <v>0</v>
      </c>
      <c r="U170" s="40">
        <f t="shared" si="75"/>
        <v>1631.5784379728893</v>
      </c>
      <c r="V170" s="41">
        <v>0.81799999999999995</v>
      </c>
      <c r="W170" s="40">
        <f t="shared" si="76"/>
        <v>1334.6311622618234</v>
      </c>
      <c r="X170" s="40">
        <f>VLOOKUP(D170,[1]apoio_Preços_MGS!$A$6:$AN$238,29,FALSE)</f>
        <v>26.905000000000001</v>
      </c>
      <c r="Y170" s="40">
        <f>VLOOKUP(D170,[1]apoio_Preços_MGS!$A$6:$AN$238,30,FALSE)</f>
        <v>43.982906556598273</v>
      </c>
      <c r="Z170" s="40">
        <f t="shared" si="45"/>
        <v>70.887906556598267</v>
      </c>
      <c r="AA170" s="40">
        <f>VLOOKUP(D170,[1]apoio_Preços_MGS!$A$6:$AN$238,32,FALSE)</f>
        <v>3.1326306009079472</v>
      </c>
      <c r="AB170" s="40">
        <f>VLOOKUP(D170,[1]apoio_Preços_MGS!$A$6:$AN$238,33,FALSE)</f>
        <v>216.13681033386553</v>
      </c>
      <c r="AC170" s="41">
        <f>VLOOKUP(D170,[1]apoio_Preços_MGS!$A$6:$AN$238,34,FALSE)</f>
        <v>3.4323193950865784E-2</v>
      </c>
      <c r="AD170" s="40">
        <f>(U170+W170+Z170+AB170+AA170+VLOOKUP(C170,[1]apoio_Prec_Folha!$A:$S,7,FALSE))*AC170</f>
        <v>130.59246599542678</v>
      </c>
      <c r="AE170" s="42">
        <f>VLOOKUP(D170,[1]apoio_Preços_MGS!$A$6:$AN$238,36,FALSE)</f>
        <v>7.0000000000000007E-2</v>
      </c>
      <c r="AF170" s="40">
        <f>(U170+W170+Z170+AB170+AD170+AA170+VLOOKUP(C170,[1]apoio_Prec_Folha!$A:$S,7,FALSE))*AE170</f>
        <v>275.47661126575241</v>
      </c>
      <c r="AG170" s="40">
        <f t="shared" si="46"/>
        <v>3662.43</v>
      </c>
      <c r="AH170" s="43">
        <f t="shared" si="47"/>
        <v>4197.62</v>
      </c>
      <c r="AI170" s="43">
        <f t="shared" si="48"/>
        <v>193090.52</v>
      </c>
      <c r="AJ170" s="43">
        <f t="shared" si="49"/>
        <v>11585431.199999999</v>
      </c>
      <c r="AK170" s="44">
        <f>VLOOKUP(D170,[1]apoio_Preços_MGS!$A$6:$AN$238,39,FALSE)</f>
        <v>181.81818181818184</v>
      </c>
      <c r="AL170" s="44">
        <f>IF(J170="demais municípios",VLOOKUP(D170,[1]apoio_Preços_MGS!$A$6:$AN$238,39,FALSE),0)</f>
        <v>181.81818181818184</v>
      </c>
      <c r="AM170" s="44">
        <v>0</v>
      </c>
      <c r="AN170" s="45">
        <f t="shared" si="73"/>
        <v>8363.636363636364</v>
      </c>
      <c r="AO170" s="44">
        <f>VLOOKUP(D170,[1]apoio_Preços_MGS!$A$6:$AN$238,40,FALSE)</f>
        <v>548.41999999999996</v>
      </c>
      <c r="AP170" s="44">
        <f>IF(J170="demais municípios",VLOOKUP(D170,[1]apoio_Preços_MGS!$A$6:$AN$238,40,FALSE),0)</f>
        <v>548.41999999999996</v>
      </c>
      <c r="AQ170" s="44">
        <v>0</v>
      </c>
      <c r="AR170" s="45">
        <f t="shared" si="74"/>
        <v>25227.32</v>
      </c>
      <c r="AS170" s="45">
        <f t="shared" si="60"/>
        <v>33590.95636363636</v>
      </c>
      <c r="AT170" s="45">
        <f t="shared" si="63"/>
        <v>2015457.3818181816</v>
      </c>
      <c r="AU170" s="62"/>
      <c r="AV170" s="46"/>
      <c r="AW170" s="47"/>
      <c r="AX170" s="48"/>
      <c r="AY170" s="49"/>
      <c r="BA170" s="48"/>
    </row>
    <row r="171" spans="1:53" ht="19.5" customHeight="1" x14ac:dyDescent="0.25">
      <c r="A171" s="33" t="str">
        <f t="shared" si="58"/>
        <v>106089400,038</v>
      </c>
      <c r="B171" s="33" t="str">
        <f t="shared" si="59"/>
        <v>2720,038</v>
      </c>
      <c r="C171" s="34" t="str">
        <f>VLOOKUP(D171,[1]apoio_Preços_MGS!$A$6:$B$238,2,FALSE)</f>
        <v>AUXILIAR DE LIMPEZA</v>
      </c>
      <c r="D171" s="35">
        <v>272</v>
      </c>
      <c r="E171" s="33" t="str">
        <f>VLOOKUP(D171,[1]apoio_Preços_MGS!$A$6:$F$238,6,FALSE)</f>
        <v>AUXILIAR DE LIMPEZA - DIARISTA DIURNO - 40H</v>
      </c>
      <c r="F171" s="36">
        <f>IFERROR(VLOOKUP(D171,'[1]apoio_cód catmas'!$B$2:$C$863,2,FALSE),0)</f>
        <v>106089</v>
      </c>
      <c r="G171" s="33" t="str">
        <f>IF(H171="N/A",VLOOKUP(F171&amp;40,'[1]apoio_cód catmas'!$A$1:$G$233,4,FALSE),VLOOKUP(F171&amp;H171,'[1]apoio_cód catmas'!$A$1:$G$233,4,FALSE))</f>
        <v>AUXILIAR DE LIMPEZA - 22H, 30H, 36H, 40H OU 44H</v>
      </c>
      <c r="H171" s="36">
        <v>40</v>
      </c>
      <c r="I171" s="37">
        <v>3.7999999999999999E-2</v>
      </c>
      <c r="J171" s="38" t="s">
        <v>46</v>
      </c>
      <c r="K171" s="39">
        <v>18</v>
      </c>
      <c r="L171" s="39">
        <f t="shared" si="77"/>
        <v>1080</v>
      </c>
      <c r="M171" s="40">
        <f>VLOOKUP(D171,[1]apoio_Preços_MGS!$A$6:$AN$238,18,FALSE)</f>
        <v>1631.5784379728893</v>
      </c>
      <c r="N171" s="40">
        <f>VLOOKUP(D171,[1]apoio_Preços_MGS!$A$6:$AN$238,19,FALSE)</f>
        <v>0</v>
      </c>
      <c r="O171" s="40">
        <f>VLOOKUP(D171,[1]apoio_Preços_MGS!$A$6:$AN$238,20,FALSE)</f>
        <v>0</v>
      </c>
      <c r="P171" s="40">
        <f>VLOOKUP(D171,[1]apoio_Preços_MGS!$A$6:$AN$238,21,FALSE)</f>
        <v>0</v>
      </c>
      <c r="Q171" s="40">
        <f>VLOOKUP(D171,[1]apoio_Preços_MGS!$A$6:$AN$238,22,FALSE)</f>
        <v>0</v>
      </c>
      <c r="R171" s="40">
        <f>VLOOKUP(D171,[1]apoio_Preços_MGS!$A$6:$AN$238,23,FALSE)</f>
        <v>0</v>
      </c>
      <c r="S171" s="40">
        <f>VLOOKUP(D171,[1]apoio_Preços_MGS!$A$6:$AN$238,24,FALSE)</f>
        <v>0</v>
      </c>
      <c r="T171" s="40">
        <f>VLOOKUP(D171,[1]apoio_Preços_MGS!$A$6:$AN$238,25,FALSE)</f>
        <v>0</v>
      </c>
      <c r="U171" s="40">
        <f t="shared" si="75"/>
        <v>1631.5784379728893</v>
      </c>
      <c r="V171" s="41">
        <v>0.81799999999999995</v>
      </c>
      <c r="W171" s="40">
        <f t="shared" si="76"/>
        <v>1334.6311622618234</v>
      </c>
      <c r="X171" s="40">
        <f>VLOOKUP(D171,[1]apoio_Preços_MGS!$A$6:$AN$238,29,FALSE)</f>
        <v>26.905000000000001</v>
      </c>
      <c r="Y171" s="40">
        <f>VLOOKUP(D171,[1]apoio_Preços_MGS!$A$6:$AN$238,30,FALSE)</f>
        <v>43.982906556598273</v>
      </c>
      <c r="Z171" s="40">
        <f t="shared" ref="Z171:Z247" si="78">Y171+X171</f>
        <v>70.887906556598267</v>
      </c>
      <c r="AA171" s="40">
        <f>VLOOKUP(D171,[1]apoio_Preços_MGS!$A$6:$AN$238,32,FALSE)</f>
        <v>3.1326306009079472</v>
      </c>
      <c r="AB171" s="40">
        <f>VLOOKUP(D171,[1]apoio_Preços_MGS!$A$6:$AN$238,33,FALSE)</f>
        <v>216.13681033386553</v>
      </c>
      <c r="AC171" s="41">
        <f>VLOOKUP(D171,[1]apoio_Preços_MGS!$A$6:$AN$238,34,FALSE)</f>
        <v>3.4323193950865784E-2</v>
      </c>
      <c r="AD171" s="40">
        <f>(U171+W171+Z171+AB171+AA171+VLOOKUP(C171,[1]apoio_Prec_Folha!$A:$S,7,FALSE))*AC171</f>
        <v>130.59246599542678</v>
      </c>
      <c r="AE171" s="42">
        <f>VLOOKUP(D171,[1]apoio_Preços_MGS!$A$6:$AN$238,36,FALSE)</f>
        <v>7.0000000000000007E-2</v>
      </c>
      <c r="AF171" s="40">
        <f>(U171+W171+Z171+AB171+AD171+AA171+VLOOKUP(C171,[1]apoio_Prec_Folha!$A:$S,7,FALSE))*AE171</f>
        <v>275.47661126575241</v>
      </c>
      <c r="AG171" s="40">
        <f t="shared" ref="AG171:AG247" si="79">TRUNC(U171+W171+Z171+AB171+AA171+AD171+AF171,2)</f>
        <v>3662.43</v>
      </c>
      <c r="AH171" s="43">
        <f t="shared" ref="AH171:AH247" si="80">TRUNC($AG171*ROUND((7.6%+1.65%+$I171)/(1-(7.6%+1.65%+$I171)),5)+$AG171,2)</f>
        <v>4212.12</v>
      </c>
      <c r="AI171" s="43">
        <f t="shared" ref="AI171:AI247" si="81">AH171*K171</f>
        <v>75818.16</v>
      </c>
      <c r="AJ171" s="43">
        <f t="shared" ref="AJ171:AJ247" si="82">AH171*L171</f>
        <v>4549089.5999999996</v>
      </c>
      <c r="AK171" s="44">
        <f>VLOOKUP(D171,[1]apoio_Preços_MGS!$A$6:$AN$238,39,FALSE)</f>
        <v>181.81818181818184</v>
      </c>
      <c r="AL171" s="44">
        <f>IF(J171="demais municípios",VLOOKUP(D171,[1]apoio_Preços_MGS!$A$6:$AN$238,39,FALSE),0)</f>
        <v>181.81818181818184</v>
      </c>
      <c r="AM171" s="44">
        <v>0</v>
      </c>
      <c r="AN171" s="45">
        <f t="shared" si="73"/>
        <v>3272.727272727273</v>
      </c>
      <c r="AO171" s="44">
        <f>VLOOKUP(D171,[1]apoio_Preços_MGS!$A$6:$AN$238,40,FALSE)</f>
        <v>548.41999999999996</v>
      </c>
      <c r="AP171" s="44">
        <f>IF(J171="demais municípios",VLOOKUP(D171,[1]apoio_Preços_MGS!$A$6:$AN$238,40,FALSE),0)</f>
        <v>548.41999999999996</v>
      </c>
      <c r="AQ171" s="44">
        <v>0</v>
      </c>
      <c r="AR171" s="45">
        <f t="shared" si="74"/>
        <v>9871.56</v>
      </c>
      <c r="AS171" s="45">
        <f t="shared" si="60"/>
        <v>13144.287272727273</v>
      </c>
      <c r="AT171" s="45">
        <f t="shared" si="63"/>
        <v>788657.23636363645</v>
      </c>
      <c r="AU171" s="62"/>
      <c r="AV171" s="46"/>
      <c r="AW171" s="47"/>
      <c r="AX171" s="48"/>
      <c r="AY171" s="49"/>
      <c r="BA171" s="48"/>
    </row>
    <row r="172" spans="1:53" ht="19.5" customHeight="1" x14ac:dyDescent="0.25">
      <c r="A172" s="33" t="str">
        <f t="shared" si="58"/>
        <v>106089400,04</v>
      </c>
      <c r="B172" s="33" t="str">
        <f t="shared" si="59"/>
        <v>2720,04</v>
      </c>
      <c r="C172" s="34" t="str">
        <f>VLOOKUP(D172,[1]apoio_Preços_MGS!$A$6:$B$238,2,FALSE)</f>
        <v>AUXILIAR DE LIMPEZA</v>
      </c>
      <c r="D172" s="35">
        <v>272</v>
      </c>
      <c r="E172" s="33" t="str">
        <f>VLOOKUP(D172,[1]apoio_Preços_MGS!$A$6:$F$238,6,FALSE)</f>
        <v>AUXILIAR DE LIMPEZA - DIARISTA DIURNO - 40H</v>
      </c>
      <c r="F172" s="36">
        <f>IFERROR(VLOOKUP(D172,'[1]apoio_cód catmas'!$B$2:$C$863,2,FALSE),0)</f>
        <v>106089</v>
      </c>
      <c r="G172" s="33" t="str">
        <f>IF(H172="N/A",VLOOKUP(F172&amp;40,'[1]apoio_cód catmas'!$A$1:$G$233,4,FALSE),VLOOKUP(F172&amp;H172,'[1]apoio_cód catmas'!$A$1:$G$233,4,FALSE))</f>
        <v>AUXILIAR DE LIMPEZA - 22H, 30H, 36H, 40H OU 44H</v>
      </c>
      <c r="H172" s="36">
        <v>40</v>
      </c>
      <c r="I172" s="37">
        <v>0.04</v>
      </c>
      <c r="J172" s="38" t="s">
        <v>46</v>
      </c>
      <c r="K172" s="39">
        <v>60</v>
      </c>
      <c r="L172" s="39">
        <f t="shared" si="77"/>
        <v>3600</v>
      </c>
      <c r="M172" s="40">
        <f>VLOOKUP(D172,[1]apoio_Preços_MGS!$A$6:$AN$238,18,FALSE)</f>
        <v>1631.5784379728893</v>
      </c>
      <c r="N172" s="40">
        <f>VLOOKUP(D172,[1]apoio_Preços_MGS!$A$6:$AN$238,19,FALSE)</f>
        <v>0</v>
      </c>
      <c r="O172" s="40">
        <f>VLOOKUP(D172,[1]apoio_Preços_MGS!$A$6:$AN$238,20,FALSE)</f>
        <v>0</v>
      </c>
      <c r="P172" s="40">
        <f>VLOOKUP(D172,[1]apoio_Preços_MGS!$A$6:$AN$238,21,FALSE)</f>
        <v>0</v>
      </c>
      <c r="Q172" s="40">
        <f>VLOOKUP(D172,[1]apoio_Preços_MGS!$A$6:$AN$238,22,FALSE)</f>
        <v>0</v>
      </c>
      <c r="R172" s="40">
        <f>VLOOKUP(D172,[1]apoio_Preços_MGS!$A$6:$AN$238,23,FALSE)</f>
        <v>0</v>
      </c>
      <c r="S172" s="40">
        <f>VLOOKUP(D172,[1]apoio_Preços_MGS!$A$6:$AN$238,24,FALSE)</f>
        <v>0</v>
      </c>
      <c r="T172" s="40">
        <f>VLOOKUP(D172,[1]apoio_Preços_MGS!$A$6:$AN$238,25,FALSE)</f>
        <v>0</v>
      </c>
      <c r="U172" s="40">
        <f t="shared" si="75"/>
        <v>1631.5784379728893</v>
      </c>
      <c r="V172" s="41">
        <v>0.81799999999999995</v>
      </c>
      <c r="W172" s="40">
        <f t="shared" si="76"/>
        <v>1334.6311622618234</v>
      </c>
      <c r="X172" s="40">
        <f>VLOOKUP(D172,[1]apoio_Preços_MGS!$A$6:$AN$238,29,FALSE)</f>
        <v>26.905000000000001</v>
      </c>
      <c r="Y172" s="40">
        <f>VLOOKUP(D172,[1]apoio_Preços_MGS!$A$6:$AN$238,30,FALSE)</f>
        <v>43.982906556598273</v>
      </c>
      <c r="Z172" s="40">
        <f t="shared" si="78"/>
        <v>70.887906556598267</v>
      </c>
      <c r="AA172" s="40">
        <f>VLOOKUP(D172,[1]apoio_Preços_MGS!$A$6:$AN$238,32,FALSE)</f>
        <v>3.1326306009079472</v>
      </c>
      <c r="AB172" s="40">
        <f>VLOOKUP(D172,[1]apoio_Preços_MGS!$A$6:$AN$238,33,FALSE)</f>
        <v>216.13681033386553</v>
      </c>
      <c r="AC172" s="41">
        <f>VLOOKUP(D172,[1]apoio_Preços_MGS!$A$6:$AN$238,34,FALSE)</f>
        <v>3.4323193950865784E-2</v>
      </c>
      <c r="AD172" s="40">
        <f>(U172+W172+Z172+AB172+AA172+VLOOKUP(C172,[1]apoio_Prec_Folha!$A:$S,7,FALSE))*AC172</f>
        <v>130.59246599542678</v>
      </c>
      <c r="AE172" s="42">
        <f>VLOOKUP(D172,[1]apoio_Preços_MGS!$A$6:$AN$238,36,FALSE)</f>
        <v>7.0000000000000007E-2</v>
      </c>
      <c r="AF172" s="40">
        <f>(U172+W172+Z172+AB172+AD172+AA172+VLOOKUP(C172,[1]apoio_Prec_Folha!$A:$S,7,FALSE))*AE172</f>
        <v>275.47661126575241</v>
      </c>
      <c r="AG172" s="40">
        <f t="shared" si="79"/>
        <v>3662.43</v>
      </c>
      <c r="AH172" s="43">
        <f t="shared" si="80"/>
        <v>4221.82</v>
      </c>
      <c r="AI172" s="43">
        <f t="shared" si="81"/>
        <v>253309.19999999998</v>
      </c>
      <c r="AJ172" s="43">
        <f t="shared" si="82"/>
        <v>15198551.999999998</v>
      </c>
      <c r="AK172" s="44">
        <f>VLOOKUP(D172,[1]apoio_Preços_MGS!$A$6:$AN$238,39,FALSE)</f>
        <v>181.81818181818184</v>
      </c>
      <c r="AL172" s="44">
        <f>IF(J172="demais municípios",VLOOKUP(D172,[1]apoio_Preços_MGS!$A$6:$AN$238,39,FALSE),0)</f>
        <v>181.81818181818184</v>
      </c>
      <c r="AM172" s="44">
        <v>0</v>
      </c>
      <c r="AN172" s="45">
        <f t="shared" si="73"/>
        <v>10909.09090909091</v>
      </c>
      <c r="AO172" s="44">
        <f>VLOOKUP(D172,[1]apoio_Preços_MGS!$A$6:$AN$238,40,FALSE)</f>
        <v>548.41999999999996</v>
      </c>
      <c r="AP172" s="44">
        <f>IF(J172="demais municípios",VLOOKUP(D172,[1]apoio_Preços_MGS!$A$6:$AN$238,40,FALSE),0)</f>
        <v>548.41999999999996</v>
      </c>
      <c r="AQ172" s="44">
        <v>0</v>
      </c>
      <c r="AR172" s="45">
        <f t="shared" si="74"/>
        <v>32905.199999999997</v>
      </c>
      <c r="AS172" s="45">
        <f t="shared" si="60"/>
        <v>43814.290909090909</v>
      </c>
      <c r="AT172" s="45">
        <f t="shared" si="63"/>
        <v>2628857.4545454546</v>
      </c>
      <c r="AU172" s="62"/>
      <c r="AV172" s="46"/>
      <c r="AW172" s="47"/>
      <c r="AX172" s="48"/>
      <c r="AY172" s="49"/>
      <c r="BA172" s="48"/>
    </row>
    <row r="173" spans="1:53" ht="19.5" customHeight="1" x14ac:dyDescent="0.25">
      <c r="A173" s="33" t="str">
        <f t="shared" si="58"/>
        <v>106089400,05</v>
      </c>
      <c r="B173" s="33" t="str">
        <f t="shared" si="59"/>
        <v>2720,05</v>
      </c>
      <c r="C173" s="34" t="str">
        <f>VLOOKUP(D173,[1]apoio_Preços_MGS!$A$6:$B$238,2,FALSE)</f>
        <v>AUXILIAR DE LIMPEZA</v>
      </c>
      <c r="D173" s="35">
        <v>272</v>
      </c>
      <c r="E173" s="33" t="str">
        <f>VLOOKUP(D173,[1]apoio_Preços_MGS!$A$6:$F$238,6,FALSE)</f>
        <v>AUXILIAR DE LIMPEZA - DIARISTA DIURNO - 40H</v>
      </c>
      <c r="F173" s="36">
        <f>IFERROR(VLOOKUP(D173,'[1]apoio_cód catmas'!$B$2:$C$863,2,FALSE),0)</f>
        <v>106089</v>
      </c>
      <c r="G173" s="33" t="str">
        <f>IF(H173="N/A",VLOOKUP(F173&amp;40,'[1]apoio_cód catmas'!$A$1:$G$233,4,FALSE),VLOOKUP(F173&amp;H173,'[1]apoio_cód catmas'!$A$1:$G$233,4,FALSE))</f>
        <v>AUXILIAR DE LIMPEZA - 22H, 30H, 36H, 40H OU 44H</v>
      </c>
      <c r="H173" s="36">
        <v>40</v>
      </c>
      <c r="I173" s="37">
        <v>0.05</v>
      </c>
      <c r="J173" s="38" t="s">
        <v>46</v>
      </c>
      <c r="K173" s="39">
        <v>12</v>
      </c>
      <c r="L173" s="39">
        <f>K173*56</f>
        <v>672</v>
      </c>
      <c r="M173" s="40">
        <f>VLOOKUP(D173,[1]apoio_Preços_MGS!$A$6:$AN$238,18,FALSE)</f>
        <v>1631.5784379728893</v>
      </c>
      <c r="N173" s="40">
        <f>VLOOKUP(D173,[1]apoio_Preços_MGS!$A$6:$AN$238,19,FALSE)</f>
        <v>0</v>
      </c>
      <c r="O173" s="40">
        <f>VLOOKUP(D173,[1]apoio_Preços_MGS!$A$6:$AN$238,20,FALSE)</f>
        <v>0</v>
      </c>
      <c r="P173" s="40">
        <f>VLOOKUP(D173,[1]apoio_Preços_MGS!$A$6:$AN$238,21,FALSE)</f>
        <v>0</v>
      </c>
      <c r="Q173" s="40">
        <f>VLOOKUP(D173,[1]apoio_Preços_MGS!$A$6:$AN$238,22,FALSE)</f>
        <v>0</v>
      </c>
      <c r="R173" s="40">
        <f>VLOOKUP(D173,[1]apoio_Preços_MGS!$A$6:$AN$238,23,FALSE)</f>
        <v>0</v>
      </c>
      <c r="S173" s="40">
        <f>VLOOKUP(D173,[1]apoio_Preços_MGS!$A$6:$AN$238,24,FALSE)</f>
        <v>0</v>
      </c>
      <c r="T173" s="40">
        <f>VLOOKUP(D173,[1]apoio_Preços_MGS!$A$6:$AN$238,25,FALSE)</f>
        <v>0</v>
      </c>
      <c r="U173" s="40">
        <f t="shared" si="75"/>
        <v>1631.5784379728893</v>
      </c>
      <c r="V173" s="41">
        <v>0.81799999999999995</v>
      </c>
      <c r="W173" s="40">
        <f t="shared" si="76"/>
        <v>1334.6311622618234</v>
      </c>
      <c r="X173" s="40">
        <f>VLOOKUP(D173,[1]apoio_Preços_MGS!$A$6:$AN$238,29,FALSE)</f>
        <v>26.905000000000001</v>
      </c>
      <c r="Y173" s="40">
        <f>VLOOKUP(D173,[1]apoio_Preços_MGS!$A$6:$AN$238,30,FALSE)</f>
        <v>43.982906556598273</v>
      </c>
      <c r="Z173" s="40">
        <f t="shared" si="78"/>
        <v>70.887906556598267</v>
      </c>
      <c r="AA173" s="40">
        <f>VLOOKUP(D173,[1]apoio_Preços_MGS!$A$6:$AN$238,32,FALSE)</f>
        <v>3.1326306009079472</v>
      </c>
      <c r="AB173" s="40">
        <f>VLOOKUP(D173,[1]apoio_Preços_MGS!$A$6:$AN$238,33,FALSE)</f>
        <v>216.13681033386553</v>
      </c>
      <c r="AC173" s="41">
        <f>VLOOKUP(D173,[1]apoio_Preços_MGS!$A$6:$AN$238,34,FALSE)</f>
        <v>3.4323193950865784E-2</v>
      </c>
      <c r="AD173" s="40">
        <f>(U173+W173+Z173+AB173+AA173+VLOOKUP(C173,[1]apoio_Prec_Folha!$A:$S,7,FALSE))*AC173</f>
        <v>130.59246599542678</v>
      </c>
      <c r="AE173" s="42">
        <f>VLOOKUP(D173,[1]apoio_Preços_MGS!$A$6:$AN$238,36,FALSE)</f>
        <v>7.0000000000000007E-2</v>
      </c>
      <c r="AF173" s="40">
        <f>(U173+W173+Z173+AB173+AD173+AA173+VLOOKUP(C173,[1]apoio_Prec_Folha!$A:$S,7,FALSE))*AE173</f>
        <v>275.47661126575241</v>
      </c>
      <c r="AG173" s="40">
        <f t="shared" si="79"/>
        <v>3662.43</v>
      </c>
      <c r="AH173" s="43">
        <f t="shared" si="80"/>
        <v>4271.05</v>
      </c>
      <c r="AI173" s="43">
        <f t="shared" si="81"/>
        <v>51252.600000000006</v>
      </c>
      <c r="AJ173" s="43">
        <f t="shared" si="82"/>
        <v>2870145.6</v>
      </c>
      <c r="AK173" s="44">
        <f>VLOOKUP(D173,[1]apoio_Preços_MGS!$A$6:$AN$238,39,FALSE)</f>
        <v>181.81818181818184</v>
      </c>
      <c r="AL173" s="44">
        <f>IF(J173="demais municípios",VLOOKUP(D173,[1]apoio_Preços_MGS!$A$6:$AN$238,39,FALSE),0)</f>
        <v>181.81818181818184</v>
      </c>
      <c r="AM173" s="44">
        <v>0</v>
      </c>
      <c r="AN173" s="45">
        <f t="shared" si="73"/>
        <v>2181.818181818182</v>
      </c>
      <c r="AO173" s="44">
        <f>VLOOKUP(D173,[1]apoio_Preços_MGS!$A$6:$AN$238,40,FALSE)</f>
        <v>548.41999999999996</v>
      </c>
      <c r="AP173" s="44">
        <f>IF(J173="demais municípios",VLOOKUP(D173,[1]apoio_Preços_MGS!$A$6:$AN$238,40,FALSE),0)</f>
        <v>548.41999999999996</v>
      </c>
      <c r="AQ173" s="44">
        <v>0</v>
      </c>
      <c r="AR173" s="45">
        <f t="shared" si="74"/>
        <v>6581.0399999999991</v>
      </c>
      <c r="AS173" s="45">
        <f t="shared" si="60"/>
        <v>8762.858181818181</v>
      </c>
      <c r="AT173" s="45">
        <f t="shared" si="63"/>
        <v>525771.49090909085</v>
      </c>
      <c r="AU173" s="62"/>
      <c r="AV173" s="46"/>
      <c r="AW173" s="47"/>
      <c r="AX173" s="48"/>
      <c r="AY173" s="49"/>
      <c r="BA173" s="48"/>
    </row>
    <row r="174" spans="1:53" ht="19.5" customHeight="1" x14ac:dyDescent="0.25">
      <c r="A174" s="33" t="str">
        <f t="shared" si="58"/>
        <v>106089400,05</v>
      </c>
      <c r="B174" s="33" t="str">
        <f t="shared" si="59"/>
        <v>2720,05</v>
      </c>
      <c r="C174" s="34" t="str">
        <f>VLOOKUP(D174,[1]apoio_Preços_MGS!$A$6:$B$238,2,FALSE)</f>
        <v>AUXILIAR DE LIMPEZA</v>
      </c>
      <c r="D174" s="35">
        <v>272</v>
      </c>
      <c r="E174" s="33" t="str">
        <f>VLOOKUP(D174,[1]apoio_Preços_MGS!$A$6:$F$238,6,FALSE)</f>
        <v>AUXILIAR DE LIMPEZA - DIARISTA DIURNO - 40H</v>
      </c>
      <c r="F174" s="36">
        <f>IFERROR(VLOOKUP(D174,'[1]apoio_cód catmas'!$B$2:$C$863,2,FALSE),0)</f>
        <v>106089</v>
      </c>
      <c r="G174" s="33" t="str">
        <f>IF(H174="N/A",VLOOKUP(F174&amp;40,'[1]apoio_cód catmas'!$A$1:$G$233,4,FALSE),VLOOKUP(F174&amp;H174,'[1]apoio_cód catmas'!$A$1:$G$233,4,FALSE))</f>
        <v>AUXILIAR DE LIMPEZA - 22H, 30H, 36H, 40H OU 44H</v>
      </c>
      <c r="H174" s="36">
        <v>40</v>
      </c>
      <c r="I174" s="37">
        <v>0.05</v>
      </c>
      <c r="J174" s="38" t="s">
        <v>46</v>
      </c>
      <c r="K174" s="39">
        <f>425-K175-3</f>
        <v>60</v>
      </c>
      <c r="L174" s="39">
        <f t="shared" si="77"/>
        <v>3600</v>
      </c>
      <c r="M174" s="40">
        <f>VLOOKUP(D174,[1]apoio_Preços_MGS!$A$6:$AN$238,18,FALSE)</f>
        <v>1631.5784379728893</v>
      </c>
      <c r="N174" s="40">
        <f>VLOOKUP(D174,[1]apoio_Preços_MGS!$A$6:$AN$238,19,FALSE)</f>
        <v>0</v>
      </c>
      <c r="O174" s="40">
        <f>VLOOKUP(D174,[1]apoio_Preços_MGS!$A$6:$AN$238,20,FALSE)</f>
        <v>0</v>
      </c>
      <c r="P174" s="40">
        <f>VLOOKUP(D174,[1]apoio_Preços_MGS!$A$6:$AN$238,21,FALSE)</f>
        <v>0</v>
      </c>
      <c r="Q174" s="40">
        <f>VLOOKUP(D174,[1]apoio_Preços_MGS!$A$6:$AN$238,22,FALSE)</f>
        <v>0</v>
      </c>
      <c r="R174" s="40">
        <f>VLOOKUP(D174,[1]apoio_Preços_MGS!$A$6:$AN$238,23,FALSE)</f>
        <v>0</v>
      </c>
      <c r="S174" s="40">
        <f>VLOOKUP(D174,[1]apoio_Preços_MGS!$A$6:$AN$238,24,FALSE)</f>
        <v>0</v>
      </c>
      <c r="T174" s="40">
        <f>VLOOKUP(D174,[1]apoio_Preços_MGS!$A$6:$AN$238,25,FALSE)</f>
        <v>0</v>
      </c>
      <c r="U174" s="40">
        <f t="shared" si="75"/>
        <v>1631.5784379728893</v>
      </c>
      <c r="V174" s="41">
        <v>0.81799999999999995</v>
      </c>
      <c r="W174" s="40">
        <f t="shared" si="76"/>
        <v>1334.6311622618234</v>
      </c>
      <c r="X174" s="40">
        <f>VLOOKUP(D174,[1]apoio_Preços_MGS!$A$6:$AN$238,29,FALSE)</f>
        <v>26.905000000000001</v>
      </c>
      <c r="Y174" s="40">
        <f>VLOOKUP(D174,[1]apoio_Preços_MGS!$A$6:$AN$238,30,FALSE)</f>
        <v>43.982906556598273</v>
      </c>
      <c r="Z174" s="40">
        <f t="shared" si="78"/>
        <v>70.887906556598267</v>
      </c>
      <c r="AA174" s="40">
        <f>VLOOKUP(D174,[1]apoio_Preços_MGS!$A$6:$AN$238,32,FALSE)</f>
        <v>3.1326306009079472</v>
      </c>
      <c r="AB174" s="40">
        <f>VLOOKUP(D174,[1]apoio_Preços_MGS!$A$6:$AN$238,33,FALSE)</f>
        <v>216.13681033386553</v>
      </c>
      <c r="AC174" s="41">
        <f>VLOOKUP(D174,[1]apoio_Preços_MGS!$A$6:$AN$238,34,FALSE)</f>
        <v>3.4323193950865784E-2</v>
      </c>
      <c r="AD174" s="40">
        <f>(U174+W174+Z174+AB174+AA174+VLOOKUP(C174,[1]apoio_Prec_Folha!$A:$S,7,FALSE))*AC174</f>
        <v>130.59246599542678</v>
      </c>
      <c r="AE174" s="42">
        <f>VLOOKUP(D174,[1]apoio_Preços_MGS!$A$6:$AN$238,36,FALSE)</f>
        <v>7.0000000000000007E-2</v>
      </c>
      <c r="AF174" s="40">
        <f>(U174+W174+Z174+AB174+AD174+AA174+VLOOKUP(C174,[1]apoio_Prec_Folha!$A:$S,7,FALSE))*AE174</f>
        <v>275.47661126575241</v>
      </c>
      <c r="AG174" s="40">
        <f t="shared" si="79"/>
        <v>3662.43</v>
      </c>
      <c r="AH174" s="43">
        <f t="shared" si="80"/>
        <v>4271.05</v>
      </c>
      <c r="AI174" s="43">
        <f t="shared" si="81"/>
        <v>256263</v>
      </c>
      <c r="AJ174" s="43">
        <f t="shared" si="82"/>
        <v>15375780</v>
      </c>
      <c r="AK174" s="44">
        <f>VLOOKUP(D174,[1]apoio_Preços_MGS!$A$6:$AN$238,39,FALSE)</f>
        <v>181.81818181818184</v>
      </c>
      <c r="AL174" s="44">
        <f>IF(J174="demais municípios",VLOOKUP(D174,[1]apoio_Preços_MGS!$A$6:$AN$238,39,FALSE),0)</f>
        <v>181.81818181818184</v>
      </c>
      <c r="AM174" s="44">
        <v>0</v>
      </c>
      <c r="AN174" s="45">
        <f t="shared" si="73"/>
        <v>10909.09090909091</v>
      </c>
      <c r="AO174" s="44">
        <f>VLOOKUP(D174,[1]apoio_Preços_MGS!$A$6:$AN$238,40,FALSE)</f>
        <v>548.41999999999996</v>
      </c>
      <c r="AP174" s="44">
        <f>IF(J174="demais municípios",VLOOKUP(D174,[1]apoio_Preços_MGS!$A$6:$AN$238,40,FALSE),0)</f>
        <v>548.41999999999996</v>
      </c>
      <c r="AQ174" s="44">
        <v>0</v>
      </c>
      <c r="AR174" s="45">
        <f t="shared" si="74"/>
        <v>32905.199999999997</v>
      </c>
      <c r="AS174" s="45">
        <f t="shared" si="60"/>
        <v>43814.290909090909</v>
      </c>
      <c r="AT174" s="45">
        <f t="shared" si="63"/>
        <v>2628857.4545454546</v>
      </c>
      <c r="AU174" s="62"/>
      <c r="AV174" s="46"/>
      <c r="AW174" s="47"/>
      <c r="AX174" s="48"/>
      <c r="AY174" s="49"/>
      <c r="BA174" s="48"/>
    </row>
    <row r="175" spans="1:53" ht="19.5" customHeight="1" x14ac:dyDescent="0.25">
      <c r="A175" s="33" t="str">
        <f t="shared" si="58"/>
        <v>106089400,05</v>
      </c>
      <c r="B175" s="33" t="str">
        <f t="shared" si="59"/>
        <v>2720,05</v>
      </c>
      <c r="C175" s="34" t="str">
        <f>VLOOKUP(D175,[1]apoio_Preços_MGS!$A$6:$B$238,2,FALSE)</f>
        <v>AUXILIAR DE LIMPEZA</v>
      </c>
      <c r="D175" s="35">
        <v>272</v>
      </c>
      <c r="E175" s="33" t="str">
        <f>VLOOKUP(D175,[1]apoio_Preços_MGS!$A$6:$F$238,6,FALSE)</f>
        <v>AUXILIAR DE LIMPEZA - DIARISTA DIURNO - 40H</v>
      </c>
      <c r="F175" s="36">
        <f>IFERROR(VLOOKUP(D175,'[1]apoio_cód catmas'!$B$2:$C$863,2,FALSE),0)</f>
        <v>106089</v>
      </c>
      <c r="G175" s="33" t="str">
        <f>IF(H175="N/A",VLOOKUP(F175&amp;40,'[1]apoio_cód catmas'!$A$1:$G$233,4,FALSE),VLOOKUP(F175&amp;H175,'[1]apoio_cód catmas'!$A$1:$G$233,4,FALSE))</f>
        <v>AUXILIAR DE LIMPEZA - 22H, 30H, 36H, 40H OU 44H</v>
      </c>
      <c r="H175" s="36">
        <v>40</v>
      </c>
      <c r="I175" s="37">
        <v>0.05</v>
      </c>
      <c r="J175" s="38" t="s">
        <v>47</v>
      </c>
      <c r="K175" s="39">
        <v>362</v>
      </c>
      <c r="L175" s="39">
        <f t="shared" si="77"/>
        <v>21720</v>
      </c>
      <c r="M175" s="40">
        <f>VLOOKUP(D175,[1]apoio_Preços_MGS!$A$6:$AN$238,18,FALSE)</f>
        <v>1631.5784379728893</v>
      </c>
      <c r="N175" s="40">
        <f>VLOOKUP(D175,[1]apoio_Preços_MGS!$A$6:$AN$238,19,FALSE)</f>
        <v>0</v>
      </c>
      <c r="O175" s="40">
        <f>VLOOKUP(D175,[1]apoio_Preços_MGS!$A$6:$AN$238,20,FALSE)</f>
        <v>0</v>
      </c>
      <c r="P175" s="40">
        <f>VLOOKUP(D175,[1]apoio_Preços_MGS!$A$6:$AN$238,21,FALSE)</f>
        <v>0</v>
      </c>
      <c r="Q175" s="40">
        <f>VLOOKUP(D175,[1]apoio_Preços_MGS!$A$6:$AN$238,22,FALSE)</f>
        <v>0</v>
      </c>
      <c r="R175" s="40">
        <f>VLOOKUP(D175,[1]apoio_Preços_MGS!$A$6:$AN$238,23,FALSE)</f>
        <v>0</v>
      </c>
      <c r="S175" s="40">
        <f>VLOOKUP(D175,[1]apoio_Preços_MGS!$A$6:$AN$238,24,FALSE)</f>
        <v>0</v>
      </c>
      <c r="T175" s="40">
        <f>VLOOKUP(D175,[1]apoio_Preços_MGS!$A$6:$AN$238,25,FALSE)</f>
        <v>0</v>
      </c>
      <c r="U175" s="40">
        <f t="shared" si="75"/>
        <v>1631.5784379728893</v>
      </c>
      <c r="V175" s="41">
        <v>0.81799999999999995</v>
      </c>
      <c r="W175" s="40">
        <f t="shared" si="76"/>
        <v>1334.6311622618234</v>
      </c>
      <c r="X175" s="40">
        <f>VLOOKUP(D175,[1]apoio_Preços_MGS!$A$6:$AN$238,29,FALSE)</f>
        <v>26.905000000000001</v>
      </c>
      <c r="Y175" s="40">
        <f>VLOOKUP(D175,[1]apoio_Preços_MGS!$A$6:$AN$238,30,FALSE)</f>
        <v>43.982906556598273</v>
      </c>
      <c r="Z175" s="40">
        <f t="shared" si="78"/>
        <v>70.887906556598267</v>
      </c>
      <c r="AA175" s="40">
        <f>VLOOKUP(D175,[1]apoio_Preços_MGS!$A$6:$AN$238,32,FALSE)</f>
        <v>3.1326306009079472</v>
      </c>
      <c r="AB175" s="40">
        <f>VLOOKUP(D175,[1]apoio_Preços_MGS!$A$6:$AN$238,33,FALSE)</f>
        <v>216.13681033386553</v>
      </c>
      <c r="AC175" s="41">
        <f>VLOOKUP(D175,[1]apoio_Preços_MGS!$A$6:$AN$238,34,FALSE)</f>
        <v>3.4323193950865784E-2</v>
      </c>
      <c r="AD175" s="40">
        <f>(U175+W175+Z175+AB175+AA175+VLOOKUP(C175,[1]apoio_Prec_Folha!$A:$S,7,FALSE))*AC175</f>
        <v>130.59246599542678</v>
      </c>
      <c r="AE175" s="42">
        <f>VLOOKUP(D175,[1]apoio_Preços_MGS!$A$6:$AN$238,36,FALSE)</f>
        <v>7.0000000000000007E-2</v>
      </c>
      <c r="AF175" s="40">
        <f>(U175+W175+Z175+AB175+AD175+AA175+VLOOKUP(C175,[1]apoio_Prec_Folha!$A:$S,7,FALSE))*AE175</f>
        <v>275.47661126575241</v>
      </c>
      <c r="AG175" s="40">
        <f t="shared" si="79"/>
        <v>3662.43</v>
      </c>
      <c r="AH175" s="43">
        <f t="shared" si="80"/>
        <v>4271.05</v>
      </c>
      <c r="AI175" s="43">
        <f t="shared" si="81"/>
        <v>1546120.1</v>
      </c>
      <c r="AJ175" s="43">
        <f t="shared" si="82"/>
        <v>92767206</v>
      </c>
      <c r="AK175" s="44">
        <f>VLOOKUP(D175,[1]apoio_Preços_MGS!$A$6:$AN$238,39,FALSE)</f>
        <v>181.81818181818184</v>
      </c>
      <c r="AL175" s="44">
        <f>IF(J175="demais municípios",VLOOKUP(D175,[1]apoio_Preços_MGS!$A$6:$AN$238,39,FALSE),0)</f>
        <v>0</v>
      </c>
      <c r="AM175" s="44">
        <f>TRUNC(ROUND(($I175)/(1-($I175)),5)*VLOOKUP(D175,[1]apoio_Preços_MGS!$A$6:$AN$238,39,FALSE)+VLOOKUP(D175,[1]apoio_Preços_MGS!$A$6:$AN$238,39,FALSE),2)</f>
        <v>191.38</v>
      </c>
      <c r="AN175" s="45">
        <f t="shared" si="61"/>
        <v>69279.56</v>
      </c>
      <c r="AO175" s="44">
        <f>VLOOKUP(D175,[1]apoio_Preços_MGS!$A$6:$AN$238,40,FALSE)</f>
        <v>548.41999999999996</v>
      </c>
      <c r="AP175" s="44">
        <f>IF(J175="demais municípios",VLOOKUP(D175,[1]apoio_Preços_MGS!$A$6:$AN$238,40,FALSE),0)</f>
        <v>0</v>
      </c>
      <c r="AQ175" s="44">
        <f>TRUNC(ROUND(($I175)/(1-($I175)),5)*VLOOKUP(D175,[1]apoio_Preços_MGS!$A$6:$AN$238,40,FALSE)+VLOOKUP(D175,[1]apoio_Preços_MGS!$A$6:$AN$238,40,FALSE),2)</f>
        <v>577.28</v>
      </c>
      <c r="AR175" s="45">
        <f t="shared" si="62"/>
        <v>208975.35999999999</v>
      </c>
      <c r="AS175" s="45">
        <f t="shared" si="60"/>
        <v>278254.92</v>
      </c>
      <c r="AT175" s="45">
        <f t="shared" si="63"/>
        <v>16695295.199999999</v>
      </c>
      <c r="AU175" s="62"/>
      <c r="AV175" s="46"/>
      <c r="AW175" s="47"/>
      <c r="AX175" s="48"/>
      <c r="AY175" s="49"/>
      <c r="BA175" s="48"/>
    </row>
    <row r="176" spans="1:53" ht="19.5" customHeight="1" x14ac:dyDescent="0.25">
      <c r="A176" s="33" t="str">
        <f t="shared" si="58"/>
        <v>106089440,02</v>
      </c>
      <c r="B176" s="33" t="str">
        <f t="shared" si="59"/>
        <v>2710,02</v>
      </c>
      <c r="C176" s="34" t="str">
        <f>VLOOKUP(D176,[1]apoio_Preços_MGS!$A$6:$B$238,2,FALSE)</f>
        <v>AUXILIAR DE LIMPEZA</v>
      </c>
      <c r="D176" s="35">
        <v>271</v>
      </c>
      <c r="E176" s="33" t="str">
        <f>VLOOKUP(D176,[1]apoio_Preços_MGS!$A$6:$F$238,6,FALSE)</f>
        <v>AUXILIAR DE LIMPEZA - DIARISTA DIURNO - 44H</v>
      </c>
      <c r="F176" s="36">
        <f>IFERROR(VLOOKUP(D176,'[1]apoio_cód catmas'!$B$2:$C$863,2,FALSE),0)</f>
        <v>106089</v>
      </c>
      <c r="G176" s="33" t="str">
        <f>IF(H176="N/A",VLOOKUP(F176&amp;40,'[1]apoio_cód catmas'!$A$1:$G$233,4,FALSE),VLOOKUP(F176&amp;H176,'[1]apoio_cód catmas'!$A$1:$G$233,4,FALSE))</f>
        <v>AUXILIAR DE LIMPEZA - 22H, 30H, 36H, 40H OU 44H</v>
      </c>
      <c r="H176" s="36">
        <v>44</v>
      </c>
      <c r="I176" s="37">
        <v>0.02</v>
      </c>
      <c r="J176" s="38" t="s">
        <v>46</v>
      </c>
      <c r="K176" s="39">
        <v>150</v>
      </c>
      <c r="L176" s="39">
        <f t="shared" si="77"/>
        <v>9000</v>
      </c>
      <c r="M176" s="40">
        <f>VLOOKUP(D176,[1]apoio_Preços_MGS!$A$6:$AN$238,18,FALSE)</f>
        <v>1794.7362817701783</v>
      </c>
      <c r="N176" s="40">
        <f>VLOOKUP(D176,[1]apoio_Preços_MGS!$A$6:$AN$238,19,FALSE)</f>
        <v>0</v>
      </c>
      <c r="O176" s="40">
        <f>VLOOKUP(D176,[1]apoio_Preços_MGS!$A$6:$AN$238,20,FALSE)</f>
        <v>0</v>
      </c>
      <c r="P176" s="40">
        <f>VLOOKUP(D176,[1]apoio_Preços_MGS!$A$6:$AN$238,21,FALSE)</f>
        <v>0</v>
      </c>
      <c r="Q176" s="40">
        <f>VLOOKUP(D176,[1]apoio_Preços_MGS!$A$6:$AN$238,22,FALSE)</f>
        <v>0</v>
      </c>
      <c r="R176" s="40">
        <f>VLOOKUP(D176,[1]apoio_Preços_MGS!$A$6:$AN$238,23,FALSE)</f>
        <v>0</v>
      </c>
      <c r="S176" s="40">
        <f>VLOOKUP(D176,[1]apoio_Preços_MGS!$A$6:$AN$238,24,FALSE)</f>
        <v>0</v>
      </c>
      <c r="T176" s="40">
        <f>VLOOKUP(D176,[1]apoio_Preços_MGS!$A$6:$AN$238,25,FALSE)</f>
        <v>0</v>
      </c>
      <c r="U176" s="40">
        <f t="shared" si="75"/>
        <v>1794.7362817701783</v>
      </c>
      <c r="V176" s="41">
        <v>0.81799999999999995</v>
      </c>
      <c r="W176" s="40">
        <f t="shared" si="76"/>
        <v>1468.0942784880058</v>
      </c>
      <c r="X176" s="40">
        <f>VLOOKUP(D176,[1]apoio_Preços_MGS!$A$6:$AN$238,29,FALSE)</f>
        <v>26.905000000000001</v>
      </c>
      <c r="Y176" s="40">
        <f>VLOOKUP(D176,[1]apoio_Preços_MGS!$A$6:$AN$238,30,FALSE)</f>
        <v>43.982906556598273</v>
      </c>
      <c r="Z176" s="40">
        <f t="shared" si="78"/>
        <v>70.887906556598267</v>
      </c>
      <c r="AA176" s="40">
        <f>VLOOKUP(D176,[1]apoio_Preços_MGS!$A$6:$AN$238,32,FALSE)</f>
        <v>3.4458936609987418</v>
      </c>
      <c r="AB176" s="40">
        <f>VLOOKUP(D176,[1]apoio_Preços_MGS!$A$6:$AN$238,33,FALSE)</f>
        <v>208.70493990461293</v>
      </c>
      <c r="AC176" s="41">
        <f>VLOOKUP(D176,[1]apoio_Preços_MGS!$A$6:$AN$238,34,FALSE)</f>
        <v>3.4323193950865784E-2</v>
      </c>
      <c r="AD176" s="40">
        <f>(U176+W176+Z176+AB176+AA176+VLOOKUP(C176,[1]apoio_Prec_Folha!$A:$S,7,FALSE))*AC176</f>
        <v>140.52911139481259</v>
      </c>
      <c r="AE176" s="42">
        <f>VLOOKUP(D176,[1]apoio_Preços_MGS!$A$6:$AN$238,36,FALSE)</f>
        <v>7.0000000000000007E-2</v>
      </c>
      <c r="AF176" s="40">
        <f>(U176+W176+Z176+AB176+AD176+AA176+VLOOKUP(C176,[1]apoio_Prec_Folha!$A:$S,7,FALSE))*AE176</f>
        <v>296.43734112951108</v>
      </c>
      <c r="AG176" s="40">
        <f t="shared" si="79"/>
        <v>3982.83</v>
      </c>
      <c r="AH176" s="43">
        <f t="shared" si="80"/>
        <v>4487.6899999999996</v>
      </c>
      <c r="AI176" s="43">
        <f t="shared" si="81"/>
        <v>673153.49999999988</v>
      </c>
      <c r="AJ176" s="43">
        <f t="shared" si="82"/>
        <v>40389210</v>
      </c>
      <c r="AK176" s="44">
        <f>VLOOKUP(D176,[1]apoio_Preços_MGS!$A$6:$AN$238,39,FALSE)</f>
        <v>200.00000000000003</v>
      </c>
      <c r="AL176" s="44">
        <f>IF(J176="demais municípios",VLOOKUP(D176,[1]apoio_Preços_MGS!$A$6:$AN$238,39,FALSE),0)</f>
        <v>200.00000000000003</v>
      </c>
      <c r="AM176" s="44">
        <v>0</v>
      </c>
      <c r="AN176" s="45">
        <f t="shared" ref="AN176:AN184" si="83">AK176*K176</f>
        <v>30000.000000000004</v>
      </c>
      <c r="AO176" s="44">
        <f>VLOOKUP(D176,[1]apoio_Preços_MGS!$A$6:$AN$238,40,FALSE)</f>
        <v>548.41999999999996</v>
      </c>
      <c r="AP176" s="44">
        <f>IF(J176="demais municípios",VLOOKUP(D176,[1]apoio_Preços_MGS!$A$6:$AN$238,40,FALSE),0)</f>
        <v>548.41999999999996</v>
      </c>
      <c r="AQ176" s="44">
        <v>0</v>
      </c>
      <c r="AR176" s="45">
        <f t="shared" ref="AR176:AR184" si="84">AO176*K176</f>
        <v>82263</v>
      </c>
      <c r="AS176" s="45">
        <f t="shared" si="60"/>
        <v>112263</v>
      </c>
      <c r="AT176" s="45">
        <f t="shared" si="63"/>
        <v>6735780</v>
      </c>
      <c r="AU176" s="62"/>
      <c r="AV176" s="46"/>
      <c r="AW176" s="47"/>
      <c r="AX176" s="48"/>
      <c r="AY176" s="49"/>
      <c r="BA176" s="48"/>
    </row>
    <row r="177" spans="1:53" ht="19.5" customHeight="1" x14ac:dyDescent="0.25">
      <c r="A177" s="33" t="str">
        <f t="shared" si="58"/>
        <v>106089440,025</v>
      </c>
      <c r="B177" s="33" t="str">
        <f t="shared" si="59"/>
        <v>2710,025</v>
      </c>
      <c r="C177" s="34" t="str">
        <f>VLOOKUP(D177,[1]apoio_Preços_MGS!$A$6:$B$238,2,FALSE)</f>
        <v>AUXILIAR DE LIMPEZA</v>
      </c>
      <c r="D177" s="35">
        <v>271</v>
      </c>
      <c r="E177" s="33" t="str">
        <f>VLOOKUP(D177,[1]apoio_Preços_MGS!$A$6:$F$238,6,FALSE)</f>
        <v>AUXILIAR DE LIMPEZA - DIARISTA DIURNO - 44H</v>
      </c>
      <c r="F177" s="36">
        <f>IFERROR(VLOOKUP(D177,'[1]apoio_cód catmas'!$B$2:$C$863,2,FALSE),0)</f>
        <v>106089</v>
      </c>
      <c r="G177" s="33" t="str">
        <f>IF(H177="N/A",VLOOKUP(F177&amp;40,'[1]apoio_cód catmas'!$A$1:$G$233,4,FALSE),VLOOKUP(F177&amp;H177,'[1]apoio_cód catmas'!$A$1:$G$233,4,FALSE))</f>
        <v>AUXILIAR DE LIMPEZA - 22H, 30H, 36H, 40H OU 44H</v>
      </c>
      <c r="H177" s="36">
        <v>44</v>
      </c>
      <c r="I177" s="37">
        <v>2.5000000000000001E-2</v>
      </c>
      <c r="J177" s="38" t="s">
        <v>46</v>
      </c>
      <c r="K177" s="39">
        <v>6</v>
      </c>
      <c r="L177" s="39">
        <f t="shared" si="77"/>
        <v>360</v>
      </c>
      <c r="M177" s="40">
        <f>VLOOKUP(D177,[1]apoio_Preços_MGS!$A$6:$AN$238,18,FALSE)</f>
        <v>1794.7362817701783</v>
      </c>
      <c r="N177" s="40">
        <f>VLOOKUP(D177,[1]apoio_Preços_MGS!$A$6:$AN$238,19,FALSE)</f>
        <v>0</v>
      </c>
      <c r="O177" s="40">
        <f>VLOOKUP(D177,[1]apoio_Preços_MGS!$A$6:$AN$238,20,FALSE)</f>
        <v>0</v>
      </c>
      <c r="P177" s="40">
        <f>VLOOKUP(D177,[1]apoio_Preços_MGS!$A$6:$AN$238,21,FALSE)</f>
        <v>0</v>
      </c>
      <c r="Q177" s="40">
        <f>VLOOKUP(D177,[1]apoio_Preços_MGS!$A$6:$AN$238,22,FALSE)</f>
        <v>0</v>
      </c>
      <c r="R177" s="40">
        <f>VLOOKUP(D177,[1]apoio_Preços_MGS!$A$6:$AN$238,23,FALSE)</f>
        <v>0</v>
      </c>
      <c r="S177" s="40">
        <f>VLOOKUP(D177,[1]apoio_Preços_MGS!$A$6:$AN$238,24,FALSE)</f>
        <v>0</v>
      </c>
      <c r="T177" s="40">
        <f>VLOOKUP(D177,[1]apoio_Preços_MGS!$A$6:$AN$238,25,FALSE)</f>
        <v>0</v>
      </c>
      <c r="U177" s="40">
        <f t="shared" si="75"/>
        <v>1794.7362817701783</v>
      </c>
      <c r="V177" s="41">
        <v>0.81799999999999995</v>
      </c>
      <c r="W177" s="40">
        <f t="shared" si="76"/>
        <v>1468.0942784880058</v>
      </c>
      <c r="X177" s="40">
        <f>VLOOKUP(D177,[1]apoio_Preços_MGS!$A$6:$AN$238,29,FALSE)</f>
        <v>26.905000000000001</v>
      </c>
      <c r="Y177" s="40">
        <f>VLOOKUP(D177,[1]apoio_Preços_MGS!$A$6:$AN$238,30,FALSE)</f>
        <v>43.982906556598273</v>
      </c>
      <c r="Z177" s="40">
        <f t="shared" si="78"/>
        <v>70.887906556598267</v>
      </c>
      <c r="AA177" s="40">
        <f>VLOOKUP(D177,[1]apoio_Preços_MGS!$A$6:$AN$238,32,FALSE)</f>
        <v>3.4458936609987418</v>
      </c>
      <c r="AB177" s="40">
        <f>VLOOKUP(D177,[1]apoio_Preços_MGS!$A$6:$AN$238,33,FALSE)</f>
        <v>208.70493990461293</v>
      </c>
      <c r="AC177" s="41">
        <f>VLOOKUP(D177,[1]apoio_Preços_MGS!$A$6:$AN$238,34,FALSE)</f>
        <v>3.4323193950865784E-2</v>
      </c>
      <c r="AD177" s="40">
        <f>(U177+W177+Z177+AB177+AA177+VLOOKUP(C177,[1]apoio_Prec_Folha!$A:$S,7,FALSE))*AC177</f>
        <v>140.52911139481259</v>
      </c>
      <c r="AE177" s="42">
        <f>VLOOKUP(D177,[1]apoio_Preços_MGS!$A$6:$AN$238,36,FALSE)</f>
        <v>7.0000000000000007E-2</v>
      </c>
      <c r="AF177" s="40">
        <f>(U177+W177+Z177+AB177+AD177+AA177+VLOOKUP(C177,[1]apoio_Prec_Folha!$A:$S,7,FALSE))*AE177</f>
        <v>296.43734112951108</v>
      </c>
      <c r="AG177" s="40">
        <f t="shared" si="79"/>
        <v>3982.83</v>
      </c>
      <c r="AH177" s="43">
        <f t="shared" si="80"/>
        <v>4513.1000000000004</v>
      </c>
      <c r="AI177" s="43">
        <f t="shared" si="81"/>
        <v>27078.600000000002</v>
      </c>
      <c r="AJ177" s="43">
        <f t="shared" si="82"/>
        <v>1624716.0000000002</v>
      </c>
      <c r="AK177" s="44">
        <f>VLOOKUP(D177,[1]apoio_Preços_MGS!$A$6:$AN$238,39,FALSE)</f>
        <v>200.00000000000003</v>
      </c>
      <c r="AL177" s="44">
        <f>IF(J177="demais municípios",VLOOKUP(D177,[1]apoio_Preços_MGS!$A$6:$AN$238,39,FALSE),0)</f>
        <v>200.00000000000003</v>
      </c>
      <c r="AM177" s="44">
        <v>0</v>
      </c>
      <c r="AN177" s="45">
        <f t="shared" si="83"/>
        <v>1200.0000000000002</v>
      </c>
      <c r="AO177" s="44">
        <f>VLOOKUP(D177,[1]apoio_Preços_MGS!$A$6:$AN$238,40,FALSE)</f>
        <v>548.41999999999996</v>
      </c>
      <c r="AP177" s="44">
        <f>IF(J177="demais municípios",VLOOKUP(D177,[1]apoio_Preços_MGS!$A$6:$AN$238,40,FALSE),0)</f>
        <v>548.41999999999996</v>
      </c>
      <c r="AQ177" s="44">
        <v>0</v>
      </c>
      <c r="AR177" s="45">
        <f t="shared" si="84"/>
        <v>3290.5199999999995</v>
      </c>
      <c r="AS177" s="45">
        <f t="shared" si="60"/>
        <v>4490.5199999999995</v>
      </c>
      <c r="AT177" s="45">
        <f t="shared" si="63"/>
        <v>269431.19999999995</v>
      </c>
      <c r="AU177" s="62"/>
      <c r="AV177" s="46"/>
      <c r="AW177" s="47"/>
      <c r="AX177" s="48"/>
      <c r="AY177" s="49"/>
      <c r="BA177" s="48"/>
    </row>
    <row r="178" spans="1:53" ht="19.5" customHeight="1" x14ac:dyDescent="0.25">
      <c r="A178" s="33" t="str">
        <f t="shared" si="58"/>
        <v>106089440,027</v>
      </c>
      <c r="B178" s="33" t="str">
        <f t="shared" si="59"/>
        <v>2710,027</v>
      </c>
      <c r="C178" s="34" t="str">
        <f>VLOOKUP(D178,[1]apoio_Preços_MGS!$A$6:$B$238,2,FALSE)</f>
        <v>AUXILIAR DE LIMPEZA</v>
      </c>
      <c r="D178" s="35">
        <v>271</v>
      </c>
      <c r="E178" s="33" t="str">
        <f>VLOOKUP(D178,[1]apoio_Preços_MGS!$A$6:$F$238,6,FALSE)</f>
        <v>AUXILIAR DE LIMPEZA - DIARISTA DIURNO - 44H</v>
      </c>
      <c r="F178" s="36">
        <f>IFERROR(VLOOKUP(D178,'[1]apoio_cód catmas'!$B$2:$C$863,2,FALSE),0)</f>
        <v>106089</v>
      </c>
      <c r="G178" s="33" t="str">
        <f>IF(H178="N/A",VLOOKUP(F178&amp;40,'[1]apoio_cód catmas'!$A$1:$G$233,4,FALSE),VLOOKUP(F178&amp;H178,'[1]apoio_cód catmas'!$A$1:$G$233,4,FALSE))</f>
        <v>AUXILIAR DE LIMPEZA - 22H, 30H, 36H, 40H OU 44H</v>
      </c>
      <c r="H178" s="36">
        <v>44</v>
      </c>
      <c r="I178" s="37">
        <v>2.7000000000000003E-2</v>
      </c>
      <c r="J178" s="38" t="s">
        <v>46</v>
      </c>
      <c r="K178" s="39">
        <v>2</v>
      </c>
      <c r="L178" s="39">
        <f t="shared" si="77"/>
        <v>120</v>
      </c>
      <c r="M178" s="40">
        <f>VLOOKUP(D178,[1]apoio_Preços_MGS!$A$6:$AN$238,18,FALSE)</f>
        <v>1794.7362817701783</v>
      </c>
      <c r="N178" s="40">
        <f>VLOOKUP(D178,[1]apoio_Preços_MGS!$A$6:$AN$238,19,FALSE)</f>
        <v>0</v>
      </c>
      <c r="O178" s="40">
        <f>VLOOKUP(D178,[1]apoio_Preços_MGS!$A$6:$AN$238,20,FALSE)</f>
        <v>0</v>
      </c>
      <c r="P178" s="40">
        <f>VLOOKUP(D178,[1]apoio_Preços_MGS!$A$6:$AN$238,21,FALSE)</f>
        <v>0</v>
      </c>
      <c r="Q178" s="40">
        <f>VLOOKUP(D178,[1]apoio_Preços_MGS!$A$6:$AN$238,22,FALSE)</f>
        <v>0</v>
      </c>
      <c r="R178" s="40">
        <f>VLOOKUP(D178,[1]apoio_Preços_MGS!$A$6:$AN$238,23,FALSE)</f>
        <v>0</v>
      </c>
      <c r="S178" s="40">
        <f>VLOOKUP(D178,[1]apoio_Preços_MGS!$A$6:$AN$238,24,FALSE)</f>
        <v>0</v>
      </c>
      <c r="T178" s="40">
        <f>VLOOKUP(D178,[1]apoio_Preços_MGS!$A$6:$AN$238,25,FALSE)</f>
        <v>0</v>
      </c>
      <c r="U178" s="40">
        <f t="shared" si="75"/>
        <v>1794.7362817701783</v>
      </c>
      <c r="V178" s="41">
        <v>0.81799999999999995</v>
      </c>
      <c r="W178" s="40">
        <f t="shared" si="76"/>
        <v>1468.0942784880058</v>
      </c>
      <c r="X178" s="40">
        <f>VLOOKUP(D178,[1]apoio_Preços_MGS!$A$6:$AN$238,29,FALSE)</f>
        <v>26.905000000000001</v>
      </c>
      <c r="Y178" s="40">
        <f>VLOOKUP(D178,[1]apoio_Preços_MGS!$A$6:$AN$238,30,FALSE)</f>
        <v>43.982906556598273</v>
      </c>
      <c r="Z178" s="40">
        <f t="shared" si="78"/>
        <v>70.887906556598267</v>
      </c>
      <c r="AA178" s="40">
        <f>VLOOKUP(D178,[1]apoio_Preços_MGS!$A$6:$AN$238,32,FALSE)</f>
        <v>3.4458936609987418</v>
      </c>
      <c r="AB178" s="40">
        <f>VLOOKUP(D178,[1]apoio_Preços_MGS!$A$6:$AN$238,33,FALSE)</f>
        <v>208.70493990461293</v>
      </c>
      <c r="AC178" s="41">
        <f>VLOOKUP(D178,[1]apoio_Preços_MGS!$A$6:$AN$238,34,FALSE)</f>
        <v>3.4323193950865784E-2</v>
      </c>
      <c r="AD178" s="40">
        <f>(U178+W178+Z178+AB178+AA178+VLOOKUP(C178,[1]apoio_Prec_Folha!$A:$S,7,FALSE))*AC178</f>
        <v>140.52911139481259</v>
      </c>
      <c r="AE178" s="42">
        <f>VLOOKUP(D178,[1]apoio_Preços_MGS!$A$6:$AN$238,36,FALSE)</f>
        <v>7.0000000000000007E-2</v>
      </c>
      <c r="AF178" s="40">
        <f>(U178+W178+Z178+AB178+AD178+AA178+VLOOKUP(C178,[1]apoio_Prec_Folha!$A:$S,7,FALSE))*AE178</f>
        <v>296.43734112951108</v>
      </c>
      <c r="AG178" s="40">
        <f t="shared" si="79"/>
        <v>3982.83</v>
      </c>
      <c r="AH178" s="43">
        <f t="shared" si="80"/>
        <v>4523.37</v>
      </c>
      <c r="AI178" s="43">
        <f t="shared" si="81"/>
        <v>9046.74</v>
      </c>
      <c r="AJ178" s="43">
        <f t="shared" si="82"/>
        <v>542804.4</v>
      </c>
      <c r="AK178" s="44">
        <f>VLOOKUP(D178,[1]apoio_Preços_MGS!$A$6:$AN$238,39,FALSE)</f>
        <v>200.00000000000003</v>
      </c>
      <c r="AL178" s="44">
        <f>IF(J178="demais municípios",VLOOKUP(D178,[1]apoio_Preços_MGS!$A$6:$AN$238,39,FALSE),0)</f>
        <v>200.00000000000003</v>
      </c>
      <c r="AM178" s="44">
        <v>0</v>
      </c>
      <c r="AN178" s="45">
        <f t="shared" si="83"/>
        <v>400.00000000000006</v>
      </c>
      <c r="AO178" s="44">
        <f>VLOOKUP(D178,[1]apoio_Preços_MGS!$A$6:$AN$238,40,FALSE)</f>
        <v>548.41999999999996</v>
      </c>
      <c r="AP178" s="44">
        <f>IF(J178="demais municípios",VLOOKUP(D178,[1]apoio_Preços_MGS!$A$6:$AN$238,40,FALSE),0)</f>
        <v>548.41999999999996</v>
      </c>
      <c r="AQ178" s="44">
        <v>0</v>
      </c>
      <c r="AR178" s="45">
        <f t="shared" si="84"/>
        <v>1096.8399999999999</v>
      </c>
      <c r="AS178" s="45">
        <f t="shared" si="60"/>
        <v>1496.84</v>
      </c>
      <c r="AT178" s="45">
        <f t="shared" si="63"/>
        <v>89810.4</v>
      </c>
      <c r="AU178" s="62"/>
      <c r="AV178" s="46"/>
      <c r="AW178" s="47"/>
      <c r="AX178" s="48"/>
      <c r="AY178" s="49"/>
      <c r="BA178" s="48"/>
    </row>
    <row r="179" spans="1:53" ht="19.5" customHeight="1" x14ac:dyDescent="0.25">
      <c r="A179" s="33" t="str">
        <f t="shared" si="58"/>
        <v>106089440,03</v>
      </c>
      <c r="B179" s="33" t="str">
        <f t="shared" si="59"/>
        <v>2710,03</v>
      </c>
      <c r="C179" s="34" t="str">
        <f>VLOOKUP(D179,[1]apoio_Preços_MGS!$A$6:$B$238,2,FALSE)</f>
        <v>AUXILIAR DE LIMPEZA</v>
      </c>
      <c r="D179" s="35">
        <v>271</v>
      </c>
      <c r="E179" s="33" t="str">
        <f>VLOOKUP(D179,[1]apoio_Preços_MGS!$A$6:$F$238,6,FALSE)</f>
        <v>AUXILIAR DE LIMPEZA - DIARISTA DIURNO - 44H</v>
      </c>
      <c r="F179" s="36">
        <f>IFERROR(VLOOKUP(D179,'[1]apoio_cód catmas'!$B$2:$C$863,2,FALSE),0)</f>
        <v>106089</v>
      </c>
      <c r="G179" s="33" t="str">
        <f>IF(H179="N/A",VLOOKUP(F179&amp;40,'[1]apoio_cód catmas'!$A$1:$G$233,4,FALSE),VLOOKUP(F179&amp;H179,'[1]apoio_cód catmas'!$A$1:$G$233,4,FALSE))</f>
        <v>AUXILIAR DE LIMPEZA - 22H, 30H, 36H, 40H OU 44H</v>
      </c>
      <c r="H179" s="36">
        <v>44</v>
      </c>
      <c r="I179" s="37">
        <v>0.03</v>
      </c>
      <c r="J179" s="38" t="s">
        <v>46</v>
      </c>
      <c r="K179" s="39">
        <f>308-14</f>
        <v>294</v>
      </c>
      <c r="L179" s="39">
        <f t="shared" si="77"/>
        <v>17640</v>
      </c>
      <c r="M179" s="40">
        <f>VLOOKUP(D179,[1]apoio_Preços_MGS!$A$6:$AN$238,18,FALSE)</f>
        <v>1794.7362817701783</v>
      </c>
      <c r="N179" s="40">
        <f>VLOOKUP(D179,[1]apoio_Preços_MGS!$A$6:$AN$238,19,FALSE)</f>
        <v>0</v>
      </c>
      <c r="O179" s="40">
        <f>VLOOKUP(D179,[1]apoio_Preços_MGS!$A$6:$AN$238,20,FALSE)</f>
        <v>0</v>
      </c>
      <c r="P179" s="40">
        <f>VLOOKUP(D179,[1]apoio_Preços_MGS!$A$6:$AN$238,21,FALSE)</f>
        <v>0</v>
      </c>
      <c r="Q179" s="40">
        <f>VLOOKUP(D179,[1]apoio_Preços_MGS!$A$6:$AN$238,22,FALSE)</f>
        <v>0</v>
      </c>
      <c r="R179" s="40">
        <f>VLOOKUP(D179,[1]apoio_Preços_MGS!$A$6:$AN$238,23,FALSE)</f>
        <v>0</v>
      </c>
      <c r="S179" s="40">
        <f>VLOOKUP(D179,[1]apoio_Preços_MGS!$A$6:$AN$238,24,FALSE)</f>
        <v>0</v>
      </c>
      <c r="T179" s="40">
        <f>VLOOKUP(D179,[1]apoio_Preços_MGS!$A$6:$AN$238,25,FALSE)</f>
        <v>0</v>
      </c>
      <c r="U179" s="40">
        <f t="shared" si="75"/>
        <v>1794.7362817701783</v>
      </c>
      <c r="V179" s="41">
        <v>0.81799999999999995</v>
      </c>
      <c r="W179" s="40">
        <f t="shared" si="76"/>
        <v>1468.0942784880058</v>
      </c>
      <c r="X179" s="40">
        <f>VLOOKUP(D179,[1]apoio_Preços_MGS!$A$6:$AN$238,29,FALSE)</f>
        <v>26.905000000000001</v>
      </c>
      <c r="Y179" s="40">
        <f>VLOOKUP(D179,[1]apoio_Preços_MGS!$A$6:$AN$238,30,FALSE)</f>
        <v>43.982906556598273</v>
      </c>
      <c r="Z179" s="40">
        <f t="shared" si="78"/>
        <v>70.887906556598267</v>
      </c>
      <c r="AA179" s="40">
        <f>VLOOKUP(D179,[1]apoio_Preços_MGS!$A$6:$AN$238,32,FALSE)</f>
        <v>3.4458936609987418</v>
      </c>
      <c r="AB179" s="40">
        <f>VLOOKUP(D179,[1]apoio_Preços_MGS!$A$6:$AN$238,33,FALSE)</f>
        <v>208.70493990461293</v>
      </c>
      <c r="AC179" s="41">
        <f>VLOOKUP(D179,[1]apoio_Preços_MGS!$A$6:$AN$238,34,FALSE)</f>
        <v>3.4323193950865784E-2</v>
      </c>
      <c r="AD179" s="40">
        <f>(U179+W179+Z179+AB179+AA179+VLOOKUP(C179,[1]apoio_Prec_Folha!$A:$S,7,FALSE))*AC179</f>
        <v>140.52911139481259</v>
      </c>
      <c r="AE179" s="42">
        <f>VLOOKUP(D179,[1]apoio_Preços_MGS!$A$6:$AN$238,36,FALSE)</f>
        <v>7.0000000000000007E-2</v>
      </c>
      <c r="AF179" s="40">
        <f>(U179+W179+Z179+AB179+AD179+AA179+VLOOKUP(C179,[1]apoio_Prec_Folha!$A:$S,7,FALSE))*AE179</f>
        <v>296.43734112951108</v>
      </c>
      <c r="AG179" s="40">
        <f t="shared" si="79"/>
        <v>3982.83</v>
      </c>
      <c r="AH179" s="43">
        <f t="shared" si="80"/>
        <v>4538.83</v>
      </c>
      <c r="AI179" s="43">
        <f t="shared" si="81"/>
        <v>1334416.02</v>
      </c>
      <c r="AJ179" s="43">
        <f t="shared" si="82"/>
        <v>80064961.200000003</v>
      </c>
      <c r="AK179" s="44">
        <f>VLOOKUP(D179,[1]apoio_Preços_MGS!$A$6:$AN$238,39,FALSE)</f>
        <v>200.00000000000003</v>
      </c>
      <c r="AL179" s="44">
        <f>IF(J179="demais municípios",VLOOKUP(D179,[1]apoio_Preços_MGS!$A$6:$AN$238,39,FALSE),0)</f>
        <v>200.00000000000003</v>
      </c>
      <c r="AM179" s="44">
        <v>0</v>
      </c>
      <c r="AN179" s="45">
        <f t="shared" si="83"/>
        <v>58800.000000000007</v>
      </c>
      <c r="AO179" s="44">
        <f>VLOOKUP(D179,[1]apoio_Preços_MGS!$A$6:$AN$238,40,FALSE)</f>
        <v>548.41999999999996</v>
      </c>
      <c r="AP179" s="44">
        <f>IF(J179="demais municípios",VLOOKUP(D179,[1]apoio_Preços_MGS!$A$6:$AN$238,40,FALSE),0)</f>
        <v>548.41999999999996</v>
      </c>
      <c r="AQ179" s="44">
        <v>0</v>
      </c>
      <c r="AR179" s="45">
        <f t="shared" si="84"/>
        <v>161235.47999999998</v>
      </c>
      <c r="AS179" s="45">
        <f t="shared" si="60"/>
        <v>220035.47999999998</v>
      </c>
      <c r="AT179" s="45">
        <f t="shared" si="63"/>
        <v>13202128.799999999</v>
      </c>
      <c r="AU179" s="62"/>
      <c r="AV179" s="46"/>
      <c r="AW179" s="47"/>
      <c r="AX179" s="48"/>
      <c r="AY179" s="49"/>
      <c r="BA179" s="48"/>
    </row>
    <row r="180" spans="1:53" ht="19.5" customHeight="1" x14ac:dyDescent="0.25">
      <c r="A180" s="33" t="str">
        <f t="shared" si="58"/>
        <v>106089440,035</v>
      </c>
      <c r="B180" s="33" t="str">
        <f t="shared" si="59"/>
        <v>2710,035</v>
      </c>
      <c r="C180" s="34" t="str">
        <f>VLOOKUP(D180,[1]apoio_Preços_MGS!$A$6:$B$238,2,FALSE)</f>
        <v>AUXILIAR DE LIMPEZA</v>
      </c>
      <c r="D180" s="35">
        <v>271</v>
      </c>
      <c r="E180" s="33" t="str">
        <f>VLOOKUP(D180,[1]apoio_Preços_MGS!$A$6:$F$238,6,FALSE)</f>
        <v>AUXILIAR DE LIMPEZA - DIARISTA DIURNO - 44H</v>
      </c>
      <c r="F180" s="36">
        <f>IFERROR(VLOOKUP(D180,'[1]apoio_cód catmas'!$B$2:$C$863,2,FALSE),0)</f>
        <v>106089</v>
      </c>
      <c r="G180" s="33" t="str">
        <f>IF(H180="N/A",VLOOKUP(F180&amp;40,'[1]apoio_cód catmas'!$A$1:$G$233,4,FALSE),VLOOKUP(F180&amp;H180,'[1]apoio_cód catmas'!$A$1:$G$233,4,FALSE))</f>
        <v>AUXILIAR DE LIMPEZA - 22H, 30H, 36H, 40H OU 44H</v>
      </c>
      <c r="H180" s="36">
        <v>44</v>
      </c>
      <c r="I180" s="37">
        <v>3.5000000000000003E-2</v>
      </c>
      <c r="J180" s="38" t="s">
        <v>46</v>
      </c>
      <c r="K180" s="39">
        <v>34</v>
      </c>
      <c r="L180" s="39">
        <f t="shared" si="77"/>
        <v>2040</v>
      </c>
      <c r="M180" s="40">
        <f>VLOOKUP(D180,[1]apoio_Preços_MGS!$A$6:$AN$238,18,FALSE)</f>
        <v>1794.7362817701783</v>
      </c>
      <c r="N180" s="40">
        <f>VLOOKUP(D180,[1]apoio_Preços_MGS!$A$6:$AN$238,19,FALSE)</f>
        <v>0</v>
      </c>
      <c r="O180" s="40">
        <f>VLOOKUP(D180,[1]apoio_Preços_MGS!$A$6:$AN$238,20,FALSE)</f>
        <v>0</v>
      </c>
      <c r="P180" s="40">
        <f>VLOOKUP(D180,[1]apoio_Preços_MGS!$A$6:$AN$238,21,FALSE)</f>
        <v>0</v>
      </c>
      <c r="Q180" s="40">
        <f>VLOOKUP(D180,[1]apoio_Preços_MGS!$A$6:$AN$238,22,FALSE)</f>
        <v>0</v>
      </c>
      <c r="R180" s="40">
        <f>VLOOKUP(D180,[1]apoio_Preços_MGS!$A$6:$AN$238,23,FALSE)</f>
        <v>0</v>
      </c>
      <c r="S180" s="40">
        <f>VLOOKUP(D180,[1]apoio_Preços_MGS!$A$6:$AN$238,24,FALSE)</f>
        <v>0</v>
      </c>
      <c r="T180" s="40">
        <f>VLOOKUP(D180,[1]apoio_Preços_MGS!$A$6:$AN$238,25,FALSE)</f>
        <v>0</v>
      </c>
      <c r="U180" s="40">
        <f t="shared" si="75"/>
        <v>1794.7362817701783</v>
      </c>
      <c r="V180" s="41">
        <f>VLOOKUP(D180,[1]apoio_Preços_MGS!$A$6:$AN$238,27,FALSE)</f>
        <v>0.81799999999999995</v>
      </c>
      <c r="W180" s="40">
        <f t="shared" si="76"/>
        <v>1468.0942784880058</v>
      </c>
      <c r="X180" s="40">
        <f>VLOOKUP(D180,[1]apoio_Preços_MGS!$A$6:$AN$238,29,FALSE)</f>
        <v>26.905000000000001</v>
      </c>
      <c r="Y180" s="40">
        <f>VLOOKUP(D180,[1]apoio_Preços_MGS!$A$6:$AN$238,30,FALSE)</f>
        <v>43.982906556598273</v>
      </c>
      <c r="Z180" s="40">
        <f t="shared" si="78"/>
        <v>70.887906556598267</v>
      </c>
      <c r="AA180" s="40">
        <f>VLOOKUP(D180,[1]apoio_Preços_MGS!$A$6:$AN$238,32,FALSE)</f>
        <v>3.4458936609987418</v>
      </c>
      <c r="AB180" s="40">
        <f>VLOOKUP(D180,[1]apoio_Preços_MGS!$A$6:$AN$238,33,FALSE)</f>
        <v>208.70493990461293</v>
      </c>
      <c r="AC180" s="41">
        <f>VLOOKUP(D180,[1]apoio_Preços_MGS!$A$6:$AN$238,34,FALSE)</f>
        <v>3.4323193950865784E-2</v>
      </c>
      <c r="AD180" s="40">
        <f>(U180+W180+Z180+AB180+AA180+VLOOKUP(C180,[1]apoio_Prec_Folha!$A:$S,7,FALSE))*AC180</f>
        <v>140.52911139481259</v>
      </c>
      <c r="AE180" s="42">
        <f>VLOOKUP(D180,[1]apoio_Preços_MGS!$A$6:$AN$238,36,FALSE)</f>
        <v>7.0000000000000007E-2</v>
      </c>
      <c r="AF180" s="40">
        <f>(U180+W180+Z180+AB180+AD180+AA180+VLOOKUP(C180,[1]apoio_Prec_Folha!$A:$S,7,FALSE))*AE180</f>
        <v>296.43734112951108</v>
      </c>
      <c r="AG180" s="40">
        <f t="shared" si="79"/>
        <v>3982.83</v>
      </c>
      <c r="AH180" s="43">
        <f t="shared" si="80"/>
        <v>4564.84</v>
      </c>
      <c r="AI180" s="43">
        <f t="shared" si="81"/>
        <v>155204.56</v>
      </c>
      <c r="AJ180" s="43">
        <f t="shared" si="82"/>
        <v>9312273.5999999996</v>
      </c>
      <c r="AK180" s="44">
        <f>VLOOKUP(D180,[1]apoio_Preços_MGS!$A$6:$AN$238,39,FALSE)</f>
        <v>200.00000000000003</v>
      </c>
      <c r="AL180" s="44">
        <f>IF(J180="demais municípios",VLOOKUP(D180,[1]apoio_Preços_MGS!$A$6:$AN$238,39,FALSE),0)</f>
        <v>200.00000000000003</v>
      </c>
      <c r="AM180" s="44">
        <v>0</v>
      </c>
      <c r="AN180" s="45">
        <f t="shared" si="83"/>
        <v>6800.0000000000009</v>
      </c>
      <c r="AO180" s="44">
        <f>VLOOKUP(D180,[1]apoio_Preços_MGS!$A$6:$AN$238,40,FALSE)</f>
        <v>548.41999999999996</v>
      </c>
      <c r="AP180" s="44">
        <f>IF(J180="demais municípios",VLOOKUP(D180,[1]apoio_Preços_MGS!$A$6:$AN$238,40,FALSE),0)</f>
        <v>548.41999999999996</v>
      </c>
      <c r="AQ180" s="44">
        <v>0</v>
      </c>
      <c r="AR180" s="45">
        <f t="shared" si="84"/>
        <v>18646.28</v>
      </c>
      <c r="AS180" s="45">
        <f t="shared" si="60"/>
        <v>25446.28</v>
      </c>
      <c r="AT180" s="45">
        <f t="shared" si="63"/>
        <v>1526776.7999999998</v>
      </c>
      <c r="AU180" s="62"/>
      <c r="AV180" s="46"/>
      <c r="AW180" s="47"/>
      <c r="AX180" s="48"/>
      <c r="AY180" s="49"/>
      <c r="BA180" s="48"/>
    </row>
    <row r="181" spans="1:53" ht="19.5" customHeight="1" x14ac:dyDescent="0.25">
      <c r="A181" s="33" t="str">
        <f t="shared" si="58"/>
        <v>106089440,038</v>
      </c>
      <c r="B181" s="33" t="str">
        <f t="shared" si="59"/>
        <v>2710,038</v>
      </c>
      <c r="C181" s="34" t="str">
        <f>VLOOKUP(D181,[1]apoio_Preços_MGS!$A$6:$B$238,2,FALSE)</f>
        <v>AUXILIAR DE LIMPEZA</v>
      </c>
      <c r="D181" s="35">
        <v>271</v>
      </c>
      <c r="E181" s="33" t="str">
        <f>VLOOKUP(D181,[1]apoio_Preços_MGS!$A$6:$F$238,6,FALSE)</f>
        <v>AUXILIAR DE LIMPEZA - DIARISTA DIURNO - 44H</v>
      </c>
      <c r="F181" s="36">
        <f>IFERROR(VLOOKUP(D181,'[1]apoio_cód catmas'!$B$2:$C$863,2,FALSE),0)</f>
        <v>106089</v>
      </c>
      <c r="G181" s="33" t="str">
        <f>IF(H181="N/A",VLOOKUP(F181&amp;40,'[1]apoio_cód catmas'!$A$1:$G$233,4,FALSE),VLOOKUP(F181&amp;H181,'[1]apoio_cód catmas'!$A$1:$G$233,4,FALSE))</f>
        <v>AUXILIAR DE LIMPEZA - 22H, 30H, 36H, 40H OU 44H</v>
      </c>
      <c r="H181" s="36">
        <v>44</v>
      </c>
      <c r="I181" s="37">
        <v>3.7999999999999999E-2</v>
      </c>
      <c r="J181" s="38" t="s">
        <v>46</v>
      </c>
      <c r="K181" s="39">
        <v>14</v>
      </c>
      <c r="L181" s="39">
        <f t="shared" si="77"/>
        <v>840</v>
      </c>
      <c r="M181" s="40">
        <f>VLOOKUP(D181,[1]apoio_Preços_MGS!$A$6:$AN$238,18,FALSE)</f>
        <v>1794.7362817701783</v>
      </c>
      <c r="N181" s="40">
        <f>VLOOKUP(D181,[1]apoio_Preços_MGS!$A$6:$AN$238,19,FALSE)</f>
        <v>0</v>
      </c>
      <c r="O181" s="40">
        <f>VLOOKUP(D181,[1]apoio_Preços_MGS!$A$6:$AN$238,20,FALSE)</f>
        <v>0</v>
      </c>
      <c r="P181" s="40">
        <f>VLOOKUP(D181,[1]apoio_Preços_MGS!$A$6:$AN$238,21,FALSE)</f>
        <v>0</v>
      </c>
      <c r="Q181" s="40">
        <f>VLOOKUP(D181,[1]apoio_Preços_MGS!$A$6:$AN$238,22,FALSE)</f>
        <v>0</v>
      </c>
      <c r="R181" s="40">
        <f>VLOOKUP(D181,[1]apoio_Preços_MGS!$A$6:$AN$238,23,FALSE)</f>
        <v>0</v>
      </c>
      <c r="S181" s="40">
        <f>VLOOKUP(D181,[1]apoio_Preços_MGS!$A$6:$AN$238,24,FALSE)</f>
        <v>0</v>
      </c>
      <c r="T181" s="40">
        <f>VLOOKUP(D181,[1]apoio_Preços_MGS!$A$6:$AN$238,25,FALSE)</f>
        <v>0</v>
      </c>
      <c r="U181" s="40">
        <f t="shared" si="75"/>
        <v>1794.7362817701783</v>
      </c>
      <c r="V181" s="41">
        <f>VLOOKUP(D181,[1]apoio_Preços_MGS!$A$6:$AN$238,27,FALSE)</f>
        <v>0.81799999999999995</v>
      </c>
      <c r="W181" s="40">
        <f t="shared" si="76"/>
        <v>1468.0942784880058</v>
      </c>
      <c r="X181" s="40">
        <f>VLOOKUP(D181,[1]apoio_Preços_MGS!$A$6:$AN$238,29,FALSE)</f>
        <v>26.905000000000001</v>
      </c>
      <c r="Y181" s="40">
        <f>VLOOKUP(D181,[1]apoio_Preços_MGS!$A$6:$AN$238,30,FALSE)</f>
        <v>43.982906556598273</v>
      </c>
      <c r="Z181" s="40">
        <f t="shared" si="78"/>
        <v>70.887906556598267</v>
      </c>
      <c r="AA181" s="40">
        <f>VLOOKUP(D181,[1]apoio_Preços_MGS!$A$6:$AN$238,32,FALSE)</f>
        <v>3.4458936609987418</v>
      </c>
      <c r="AB181" s="40">
        <f>VLOOKUP(D181,[1]apoio_Preços_MGS!$A$6:$AN$238,33,FALSE)</f>
        <v>208.70493990461293</v>
      </c>
      <c r="AC181" s="41">
        <f>VLOOKUP(D181,[1]apoio_Preços_MGS!$A$6:$AN$238,34,FALSE)</f>
        <v>3.4323193950865784E-2</v>
      </c>
      <c r="AD181" s="40">
        <f>(U181+W181+Z181+AB181+AA181+VLOOKUP(C181,[1]apoio_Prec_Folha!$A:$S,7,FALSE))*AC181</f>
        <v>140.52911139481259</v>
      </c>
      <c r="AE181" s="42">
        <f>VLOOKUP(D181,[1]apoio_Preços_MGS!$A$6:$AN$238,36,FALSE)</f>
        <v>7.0000000000000007E-2</v>
      </c>
      <c r="AF181" s="40">
        <f>(U181+W181+Z181+AB181+AD181+AA181+VLOOKUP(C181,[1]apoio_Prec_Folha!$A:$S,7,FALSE))*AE181</f>
        <v>296.43734112951108</v>
      </c>
      <c r="AG181" s="40">
        <f t="shared" si="79"/>
        <v>3982.83</v>
      </c>
      <c r="AH181" s="43">
        <f t="shared" si="80"/>
        <v>4580.6099999999997</v>
      </c>
      <c r="AI181" s="43">
        <f t="shared" si="81"/>
        <v>64128.539999999994</v>
      </c>
      <c r="AJ181" s="43">
        <f t="shared" si="82"/>
        <v>3847712.4</v>
      </c>
      <c r="AK181" s="44">
        <f>VLOOKUP(D181,[1]apoio_Preços_MGS!$A$6:$AN$238,39,FALSE)</f>
        <v>200.00000000000003</v>
      </c>
      <c r="AL181" s="44">
        <f>IF(J181="demais municípios",VLOOKUP(D181,[1]apoio_Preços_MGS!$A$6:$AN$238,39,FALSE),0)</f>
        <v>200.00000000000003</v>
      </c>
      <c r="AM181" s="44">
        <v>0</v>
      </c>
      <c r="AN181" s="45">
        <f t="shared" si="83"/>
        <v>2800.0000000000005</v>
      </c>
      <c r="AO181" s="44">
        <f>VLOOKUP(D181,[1]apoio_Preços_MGS!$A$6:$AN$238,40,FALSE)</f>
        <v>548.41999999999996</v>
      </c>
      <c r="AP181" s="44">
        <f>IF(J181="demais municípios",VLOOKUP(D181,[1]apoio_Preços_MGS!$A$6:$AN$238,40,FALSE),0)</f>
        <v>548.41999999999996</v>
      </c>
      <c r="AQ181" s="44">
        <v>0</v>
      </c>
      <c r="AR181" s="45">
        <f t="shared" si="84"/>
        <v>7677.8799999999992</v>
      </c>
      <c r="AS181" s="45">
        <f t="shared" si="60"/>
        <v>10477.879999999999</v>
      </c>
      <c r="AT181" s="45">
        <f t="shared" si="63"/>
        <v>628672.79999999993</v>
      </c>
      <c r="AU181" s="62"/>
      <c r="AV181" s="46"/>
      <c r="AW181" s="47"/>
      <c r="AX181" s="48"/>
      <c r="AY181" s="49"/>
      <c r="BA181" s="48"/>
    </row>
    <row r="182" spans="1:53" ht="19.5" customHeight="1" x14ac:dyDescent="0.25">
      <c r="A182" s="33" t="str">
        <f t="shared" si="58"/>
        <v>106089440,04</v>
      </c>
      <c r="B182" s="33" t="str">
        <f t="shared" si="59"/>
        <v>2710,04</v>
      </c>
      <c r="C182" s="34" t="str">
        <f>VLOOKUP(D182,[1]apoio_Preços_MGS!$A$6:$B$238,2,FALSE)</f>
        <v>AUXILIAR DE LIMPEZA</v>
      </c>
      <c r="D182" s="35">
        <v>271</v>
      </c>
      <c r="E182" s="33" t="str">
        <f>VLOOKUP(D182,[1]apoio_Preços_MGS!$A$6:$F$238,6,FALSE)</f>
        <v>AUXILIAR DE LIMPEZA - DIARISTA DIURNO - 44H</v>
      </c>
      <c r="F182" s="36">
        <f>IFERROR(VLOOKUP(D182,'[1]apoio_cód catmas'!$B$2:$C$863,2,FALSE),0)</f>
        <v>106089</v>
      </c>
      <c r="G182" s="33" t="str">
        <f>IF(H182="N/A",VLOOKUP(F182&amp;40,'[1]apoio_cód catmas'!$A$1:$G$233,4,FALSE),VLOOKUP(F182&amp;H182,'[1]apoio_cód catmas'!$A$1:$G$233,4,FALSE))</f>
        <v>AUXILIAR DE LIMPEZA - 22H, 30H, 36H, 40H OU 44H</v>
      </c>
      <c r="H182" s="36">
        <v>44</v>
      </c>
      <c r="I182" s="37">
        <v>0.04</v>
      </c>
      <c r="J182" s="38" t="s">
        <v>46</v>
      </c>
      <c r="K182" s="39">
        <v>36</v>
      </c>
      <c r="L182" s="39">
        <f t="shared" si="77"/>
        <v>2160</v>
      </c>
      <c r="M182" s="40">
        <f>VLOOKUP(D182,[1]apoio_Preços_MGS!$A$6:$AN$238,18,FALSE)</f>
        <v>1794.7362817701783</v>
      </c>
      <c r="N182" s="40">
        <f>VLOOKUP(D182,[1]apoio_Preços_MGS!$A$6:$AN$238,19,FALSE)</f>
        <v>0</v>
      </c>
      <c r="O182" s="40">
        <f>VLOOKUP(D182,[1]apoio_Preços_MGS!$A$6:$AN$238,20,FALSE)</f>
        <v>0</v>
      </c>
      <c r="P182" s="40">
        <f>VLOOKUP(D182,[1]apoio_Preços_MGS!$A$6:$AN$238,21,FALSE)</f>
        <v>0</v>
      </c>
      <c r="Q182" s="40">
        <f>VLOOKUP(D182,[1]apoio_Preços_MGS!$A$6:$AN$238,22,FALSE)</f>
        <v>0</v>
      </c>
      <c r="R182" s="40">
        <f>VLOOKUP(D182,[1]apoio_Preços_MGS!$A$6:$AN$238,23,FALSE)</f>
        <v>0</v>
      </c>
      <c r="S182" s="40">
        <f>VLOOKUP(D182,[1]apoio_Preços_MGS!$A$6:$AN$238,24,FALSE)</f>
        <v>0</v>
      </c>
      <c r="T182" s="40">
        <f>VLOOKUP(D182,[1]apoio_Preços_MGS!$A$6:$AN$238,25,FALSE)</f>
        <v>0</v>
      </c>
      <c r="U182" s="40">
        <f t="shared" si="75"/>
        <v>1794.7362817701783</v>
      </c>
      <c r="V182" s="41">
        <f>VLOOKUP(D182,[1]apoio_Preços_MGS!$A$6:$AN$238,27,FALSE)</f>
        <v>0.81799999999999995</v>
      </c>
      <c r="W182" s="40">
        <f t="shared" si="76"/>
        <v>1468.0942784880058</v>
      </c>
      <c r="X182" s="40">
        <f>VLOOKUP(D182,[1]apoio_Preços_MGS!$A$6:$AN$238,29,FALSE)</f>
        <v>26.905000000000001</v>
      </c>
      <c r="Y182" s="40">
        <f>VLOOKUP(D182,[1]apoio_Preços_MGS!$A$6:$AN$238,30,FALSE)</f>
        <v>43.982906556598273</v>
      </c>
      <c r="Z182" s="40">
        <f t="shared" si="78"/>
        <v>70.887906556598267</v>
      </c>
      <c r="AA182" s="40">
        <f>VLOOKUP(D182,[1]apoio_Preços_MGS!$A$6:$AN$238,32,FALSE)</f>
        <v>3.4458936609987418</v>
      </c>
      <c r="AB182" s="40">
        <f>VLOOKUP(D182,[1]apoio_Preços_MGS!$A$6:$AN$238,33,FALSE)</f>
        <v>208.70493990461293</v>
      </c>
      <c r="AC182" s="41">
        <f>VLOOKUP(D182,[1]apoio_Preços_MGS!$A$6:$AN$238,34,FALSE)</f>
        <v>3.4323193950865784E-2</v>
      </c>
      <c r="AD182" s="40">
        <f>(U182+W182+Z182+AB182+AA182+VLOOKUP(C182,[1]apoio_Prec_Folha!$A:$S,7,FALSE))*AC182</f>
        <v>140.52911139481259</v>
      </c>
      <c r="AE182" s="42">
        <f>VLOOKUP(D182,[1]apoio_Preços_MGS!$A$6:$AN$238,36,FALSE)</f>
        <v>7.0000000000000007E-2</v>
      </c>
      <c r="AF182" s="40">
        <f>(U182+W182+Z182+AB182+AD182+AA182+VLOOKUP(C182,[1]apoio_Prec_Folha!$A:$S,7,FALSE))*AE182</f>
        <v>296.43734112951108</v>
      </c>
      <c r="AG182" s="40">
        <f t="shared" si="79"/>
        <v>3982.83</v>
      </c>
      <c r="AH182" s="43">
        <f t="shared" si="80"/>
        <v>4591.16</v>
      </c>
      <c r="AI182" s="43">
        <f t="shared" si="81"/>
        <v>165281.76</v>
      </c>
      <c r="AJ182" s="43">
        <f t="shared" si="82"/>
        <v>9916905.5999999996</v>
      </c>
      <c r="AK182" s="44">
        <f>VLOOKUP(D182,[1]apoio_Preços_MGS!$A$6:$AN$238,39,FALSE)</f>
        <v>200.00000000000003</v>
      </c>
      <c r="AL182" s="44">
        <f>IF(J182="demais municípios",VLOOKUP(D182,[1]apoio_Preços_MGS!$A$6:$AN$238,39,FALSE),0)</f>
        <v>200.00000000000003</v>
      </c>
      <c r="AM182" s="44">
        <v>0</v>
      </c>
      <c r="AN182" s="45">
        <f t="shared" si="83"/>
        <v>7200.0000000000009</v>
      </c>
      <c r="AO182" s="44">
        <f>VLOOKUP(D182,[1]apoio_Preços_MGS!$A$6:$AN$238,40,FALSE)</f>
        <v>548.41999999999996</v>
      </c>
      <c r="AP182" s="44">
        <f>IF(J182="demais municípios",VLOOKUP(D182,[1]apoio_Preços_MGS!$A$6:$AN$238,40,FALSE),0)</f>
        <v>548.41999999999996</v>
      </c>
      <c r="AQ182" s="44">
        <v>0</v>
      </c>
      <c r="AR182" s="45">
        <f t="shared" si="84"/>
        <v>19743.12</v>
      </c>
      <c r="AS182" s="45">
        <f t="shared" si="60"/>
        <v>26943.119999999999</v>
      </c>
      <c r="AT182" s="45">
        <f t="shared" si="63"/>
        <v>1616587.2</v>
      </c>
      <c r="AU182" s="62"/>
      <c r="AV182" s="46"/>
      <c r="AW182" s="47"/>
      <c r="AX182" s="48"/>
      <c r="AY182" s="49"/>
      <c r="BA182" s="48"/>
    </row>
    <row r="183" spans="1:53" ht="19.5" customHeight="1" x14ac:dyDescent="0.25">
      <c r="A183" s="33" t="str">
        <f t="shared" si="58"/>
        <v>106089440,05</v>
      </c>
      <c r="B183" s="33" t="str">
        <f t="shared" si="59"/>
        <v>2710,05</v>
      </c>
      <c r="C183" s="34" t="str">
        <f>VLOOKUP(D183,[1]apoio_Preços_MGS!$A$6:$B$238,2,FALSE)</f>
        <v>AUXILIAR DE LIMPEZA</v>
      </c>
      <c r="D183" s="35">
        <v>271</v>
      </c>
      <c r="E183" s="33" t="str">
        <f>VLOOKUP(D183,[1]apoio_Preços_MGS!$A$6:$F$238,6,FALSE)</f>
        <v>AUXILIAR DE LIMPEZA - DIARISTA DIURNO - 44H</v>
      </c>
      <c r="F183" s="36">
        <f>IFERROR(VLOOKUP(D183,'[1]apoio_cód catmas'!$B$2:$C$863,2,FALSE),0)</f>
        <v>106089</v>
      </c>
      <c r="G183" s="33" t="str">
        <f>IF(H183="N/A",VLOOKUP(F183&amp;40,'[1]apoio_cód catmas'!$A$1:$G$233,4,FALSE),VLOOKUP(F183&amp;H183,'[1]apoio_cód catmas'!$A$1:$G$233,4,FALSE))</f>
        <v>AUXILIAR DE LIMPEZA - 22H, 30H, 36H, 40H OU 44H</v>
      </c>
      <c r="H183" s="36">
        <v>44</v>
      </c>
      <c r="I183" s="37">
        <v>0.05</v>
      </c>
      <c r="J183" s="38" t="s">
        <v>46</v>
      </c>
      <c r="K183" s="39">
        <v>14</v>
      </c>
      <c r="L183" s="39">
        <f>K183*56</f>
        <v>784</v>
      </c>
      <c r="M183" s="40">
        <f>VLOOKUP(D183,[1]apoio_Preços_MGS!$A$6:$AN$238,18,FALSE)</f>
        <v>1794.7362817701783</v>
      </c>
      <c r="N183" s="40">
        <f>VLOOKUP(D183,[1]apoio_Preços_MGS!$A$6:$AN$238,19,FALSE)</f>
        <v>0</v>
      </c>
      <c r="O183" s="40">
        <f>VLOOKUP(D183,[1]apoio_Preços_MGS!$A$6:$AN$238,20,FALSE)</f>
        <v>0</v>
      </c>
      <c r="P183" s="40">
        <f>VLOOKUP(D183,[1]apoio_Preços_MGS!$A$6:$AN$238,21,FALSE)</f>
        <v>0</v>
      </c>
      <c r="Q183" s="40">
        <f>VLOOKUP(D183,[1]apoio_Preços_MGS!$A$6:$AN$238,22,FALSE)</f>
        <v>0</v>
      </c>
      <c r="R183" s="40">
        <f>VLOOKUP(D183,[1]apoio_Preços_MGS!$A$6:$AN$238,23,FALSE)</f>
        <v>0</v>
      </c>
      <c r="S183" s="40">
        <f>VLOOKUP(D183,[1]apoio_Preços_MGS!$A$6:$AN$238,24,FALSE)</f>
        <v>0</v>
      </c>
      <c r="T183" s="40">
        <f>VLOOKUP(D183,[1]apoio_Preços_MGS!$A$6:$AN$238,25,FALSE)</f>
        <v>0</v>
      </c>
      <c r="U183" s="40">
        <f t="shared" si="75"/>
        <v>1794.7362817701783</v>
      </c>
      <c r="V183" s="41">
        <f>VLOOKUP(D183,[1]apoio_Preços_MGS!$A$6:$AN$238,27,FALSE)</f>
        <v>0.81799999999999995</v>
      </c>
      <c r="W183" s="40">
        <f t="shared" si="76"/>
        <v>1468.0942784880058</v>
      </c>
      <c r="X183" s="40">
        <f>VLOOKUP(D183,[1]apoio_Preços_MGS!$A$6:$AN$238,29,FALSE)</f>
        <v>26.905000000000001</v>
      </c>
      <c r="Y183" s="40">
        <f>VLOOKUP(D183,[1]apoio_Preços_MGS!$A$6:$AN$238,30,FALSE)</f>
        <v>43.982906556598273</v>
      </c>
      <c r="Z183" s="40">
        <f t="shared" si="78"/>
        <v>70.887906556598267</v>
      </c>
      <c r="AA183" s="40">
        <f>VLOOKUP(D183,[1]apoio_Preços_MGS!$A$6:$AN$238,32,FALSE)</f>
        <v>3.4458936609987418</v>
      </c>
      <c r="AB183" s="40">
        <f>VLOOKUP(D183,[1]apoio_Preços_MGS!$A$6:$AN$238,33,FALSE)</f>
        <v>208.70493990461293</v>
      </c>
      <c r="AC183" s="41">
        <f>VLOOKUP(D183,[1]apoio_Preços_MGS!$A$6:$AN$238,34,FALSE)</f>
        <v>3.4323193950865784E-2</v>
      </c>
      <c r="AD183" s="40">
        <f>(U183+W183+Z183+AB183+AA183+VLOOKUP(C183,[1]apoio_Prec_Folha!$A:$S,7,FALSE))*AC183</f>
        <v>140.52911139481259</v>
      </c>
      <c r="AE183" s="42">
        <f>VLOOKUP(D183,[1]apoio_Preços_MGS!$A$6:$AN$238,36,FALSE)</f>
        <v>7.0000000000000007E-2</v>
      </c>
      <c r="AF183" s="40">
        <f>(U183+W183+Z183+AB183+AD183+AA183+VLOOKUP(C183,[1]apoio_Prec_Folha!$A:$S,7,FALSE))*AE183</f>
        <v>296.43734112951108</v>
      </c>
      <c r="AG183" s="40">
        <f t="shared" si="79"/>
        <v>3982.83</v>
      </c>
      <c r="AH183" s="43">
        <f t="shared" si="80"/>
        <v>4644.6899999999996</v>
      </c>
      <c r="AI183" s="43">
        <f t="shared" si="81"/>
        <v>65025.659999999996</v>
      </c>
      <c r="AJ183" s="43">
        <f t="shared" si="82"/>
        <v>3641436.9599999995</v>
      </c>
      <c r="AK183" s="44">
        <f>VLOOKUP(D183,[1]apoio_Preços_MGS!$A$6:$AN$238,39,FALSE)</f>
        <v>200.00000000000003</v>
      </c>
      <c r="AL183" s="44">
        <f>IF(J183="demais municípios",VLOOKUP(D183,[1]apoio_Preços_MGS!$A$6:$AN$238,39,FALSE),0)</f>
        <v>200.00000000000003</v>
      </c>
      <c r="AM183" s="44">
        <v>0</v>
      </c>
      <c r="AN183" s="45">
        <f t="shared" si="83"/>
        <v>2800.0000000000005</v>
      </c>
      <c r="AO183" s="44">
        <f>VLOOKUP(D183,[1]apoio_Preços_MGS!$A$6:$AN$238,40,FALSE)</f>
        <v>548.41999999999996</v>
      </c>
      <c r="AP183" s="44">
        <f>IF(J183="demais municípios",VLOOKUP(D183,[1]apoio_Preços_MGS!$A$6:$AN$238,40,FALSE),0)</f>
        <v>548.41999999999996</v>
      </c>
      <c r="AQ183" s="44">
        <v>0</v>
      </c>
      <c r="AR183" s="45">
        <f t="shared" si="84"/>
        <v>7677.8799999999992</v>
      </c>
      <c r="AS183" s="45">
        <f t="shared" si="60"/>
        <v>10477.879999999999</v>
      </c>
      <c r="AT183" s="45">
        <f t="shared" si="63"/>
        <v>628672.79999999993</v>
      </c>
      <c r="AU183" s="62"/>
      <c r="AV183" s="46"/>
      <c r="AW183" s="47"/>
      <c r="AX183" s="48"/>
      <c r="AY183" s="49"/>
      <c r="BA183" s="48"/>
    </row>
    <row r="184" spans="1:53" ht="19.5" customHeight="1" x14ac:dyDescent="0.25">
      <c r="A184" s="33" t="str">
        <f t="shared" si="58"/>
        <v>106089440,05</v>
      </c>
      <c r="B184" s="33" t="str">
        <f t="shared" si="59"/>
        <v>2710,05</v>
      </c>
      <c r="C184" s="34" t="str">
        <f>VLOOKUP(D184,[1]apoio_Preços_MGS!$A$6:$B$238,2,FALSE)</f>
        <v>AUXILIAR DE LIMPEZA</v>
      </c>
      <c r="D184" s="35">
        <v>271</v>
      </c>
      <c r="E184" s="33" t="str">
        <f>VLOOKUP(D184,[1]apoio_Preços_MGS!$A$6:$F$238,6,FALSE)</f>
        <v>AUXILIAR DE LIMPEZA - DIARISTA DIURNO - 44H</v>
      </c>
      <c r="F184" s="36">
        <f>IFERROR(VLOOKUP(D184,'[1]apoio_cód catmas'!$B$2:$C$863,2,FALSE),0)</f>
        <v>106089</v>
      </c>
      <c r="G184" s="33" t="str">
        <f>IF(H184="N/A",VLOOKUP(F184&amp;40,'[1]apoio_cód catmas'!$A$1:$G$233,4,FALSE),VLOOKUP(F184&amp;H184,'[1]apoio_cód catmas'!$A$1:$G$233,4,FALSE))</f>
        <v>AUXILIAR DE LIMPEZA - 22H, 30H, 36H, 40H OU 44H</v>
      </c>
      <c r="H184" s="36">
        <v>44</v>
      </c>
      <c r="I184" s="37">
        <v>0.05</v>
      </c>
      <c r="J184" s="38" t="s">
        <v>46</v>
      </c>
      <c r="K184" s="39">
        <f>851-K185</f>
        <v>95</v>
      </c>
      <c r="L184" s="39">
        <f t="shared" si="77"/>
        <v>5700</v>
      </c>
      <c r="M184" s="40">
        <f>VLOOKUP(D184,[1]apoio_Preços_MGS!$A$6:$AN$238,18,FALSE)</f>
        <v>1794.7362817701783</v>
      </c>
      <c r="N184" s="40">
        <f>VLOOKUP(D184,[1]apoio_Preços_MGS!$A$6:$AN$238,19,FALSE)</f>
        <v>0</v>
      </c>
      <c r="O184" s="40">
        <f>VLOOKUP(D184,[1]apoio_Preços_MGS!$A$6:$AN$238,20,FALSE)</f>
        <v>0</v>
      </c>
      <c r="P184" s="40">
        <f>VLOOKUP(D184,[1]apoio_Preços_MGS!$A$6:$AN$238,21,FALSE)</f>
        <v>0</v>
      </c>
      <c r="Q184" s="40">
        <f>VLOOKUP(D184,[1]apoio_Preços_MGS!$A$6:$AN$238,22,FALSE)</f>
        <v>0</v>
      </c>
      <c r="R184" s="40">
        <f>VLOOKUP(D184,[1]apoio_Preços_MGS!$A$6:$AN$238,23,FALSE)</f>
        <v>0</v>
      </c>
      <c r="S184" s="40">
        <f>VLOOKUP(D184,[1]apoio_Preços_MGS!$A$6:$AN$238,24,FALSE)</f>
        <v>0</v>
      </c>
      <c r="T184" s="40">
        <f>VLOOKUP(D184,[1]apoio_Preços_MGS!$A$6:$AN$238,25,FALSE)</f>
        <v>0</v>
      </c>
      <c r="U184" s="40">
        <f t="shared" si="75"/>
        <v>1794.7362817701783</v>
      </c>
      <c r="V184" s="41">
        <f>VLOOKUP(D184,[1]apoio_Preços_MGS!$A$6:$AN$238,27,FALSE)</f>
        <v>0.81799999999999995</v>
      </c>
      <c r="W184" s="40">
        <f t="shared" si="76"/>
        <v>1468.0942784880058</v>
      </c>
      <c r="X184" s="40">
        <f>VLOOKUP(D184,[1]apoio_Preços_MGS!$A$6:$AN$238,29,FALSE)</f>
        <v>26.905000000000001</v>
      </c>
      <c r="Y184" s="40">
        <f>VLOOKUP(D184,[1]apoio_Preços_MGS!$A$6:$AN$238,30,FALSE)</f>
        <v>43.982906556598273</v>
      </c>
      <c r="Z184" s="40">
        <f t="shared" si="78"/>
        <v>70.887906556598267</v>
      </c>
      <c r="AA184" s="40">
        <f>VLOOKUP(D184,[1]apoio_Preços_MGS!$A$6:$AN$238,32,FALSE)</f>
        <v>3.4458936609987418</v>
      </c>
      <c r="AB184" s="40">
        <f>VLOOKUP(D184,[1]apoio_Preços_MGS!$A$6:$AN$238,33,FALSE)</f>
        <v>208.70493990461293</v>
      </c>
      <c r="AC184" s="41">
        <f>VLOOKUP(D184,[1]apoio_Preços_MGS!$A$6:$AN$238,34,FALSE)</f>
        <v>3.4323193950865784E-2</v>
      </c>
      <c r="AD184" s="40">
        <f>(U184+W184+Z184+AB184+AA184+VLOOKUP(C184,[1]apoio_Prec_Folha!$A:$S,7,FALSE))*AC184</f>
        <v>140.52911139481259</v>
      </c>
      <c r="AE184" s="42">
        <f>VLOOKUP(D184,[1]apoio_Preços_MGS!$A$6:$AN$238,36,FALSE)</f>
        <v>7.0000000000000007E-2</v>
      </c>
      <c r="AF184" s="40">
        <f>(U184+W184+Z184+AB184+AD184+AA184+VLOOKUP(C184,[1]apoio_Prec_Folha!$A:$S,7,FALSE))*AE184</f>
        <v>296.43734112951108</v>
      </c>
      <c r="AG184" s="40">
        <f t="shared" si="79"/>
        <v>3982.83</v>
      </c>
      <c r="AH184" s="43">
        <f t="shared" si="80"/>
        <v>4644.6899999999996</v>
      </c>
      <c r="AI184" s="43">
        <f t="shared" si="81"/>
        <v>441245.55</v>
      </c>
      <c r="AJ184" s="43">
        <f t="shared" si="82"/>
        <v>26474732.999999996</v>
      </c>
      <c r="AK184" s="44">
        <f>VLOOKUP(D184,[1]apoio_Preços_MGS!$A$6:$AN$238,39,FALSE)</f>
        <v>200.00000000000003</v>
      </c>
      <c r="AL184" s="44">
        <f>IF(J184="demais municípios",VLOOKUP(D184,[1]apoio_Preços_MGS!$A$6:$AN$238,39,FALSE),0)</f>
        <v>200.00000000000003</v>
      </c>
      <c r="AM184" s="44">
        <v>0</v>
      </c>
      <c r="AN184" s="45">
        <f t="shared" si="83"/>
        <v>19000.000000000004</v>
      </c>
      <c r="AO184" s="44">
        <f>VLOOKUP(D184,[1]apoio_Preços_MGS!$A$6:$AN$238,40,FALSE)</f>
        <v>548.41999999999996</v>
      </c>
      <c r="AP184" s="44">
        <f>IF(J184="demais municípios",VLOOKUP(D184,[1]apoio_Preços_MGS!$A$6:$AN$238,40,FALSE),0)</f>
        <v>548.41999999999996</v>
      </c>
      <c r="AQ184" s="44">
        <v>0</v>
      </c>
      <c r="AR184" s="45">
        <f t="shared" si="84"/>
        <v>52099.899999999994</v>
      </c>
      <c r="AS184" s="45">
        <f t="shared" si="60"/>
        <v>71099.899999999994</v>
      </c>
      <c r="AT184" s="45">
        <f t="shared" si="63"/>
        <v>4265994</v>
      </c>
      <c r="AU184" s="62"/>
      <c r="AV184" s="46"/>
      <c r="AW184" s="47"/>
      <c r="AX184" s="48"/>
      <c r="AY184" s="49"/>
      <c r="BA184" s="48"/>
    </row>
    <row r="185" spans="1:53" ht="19.5" customHeight="1" x14ac:dyDescent="0.25">
      <c r="A185" s="33" t="str">
        <f t="shared" si="58"/>
        <v>106089440,05</v>
      </c>
      <c r="B185" s="33" t="str">
        <f t="shared" si="59"/>
        <v>2710,05</v>
      </c>
      <c r="C185" s="34" t="str">
        <f>VLOOKUP(D185,[1]apoio_Preços_MGS!$A$6:$B$238,2,FALSE)</f>
        <v>AUXILIAR DE LIMPEZA</v>
      </c>
      <c r="D185" s="35">
        <v>271</v>
      </c>
      <c r="E185" s="33" t="str">
        <f>VLOOKUP(D185,[1]apoio_Preços_MGS!$A$6:$F$238,6,FALSE)</f>
        <v>AUXILIAR DE LIMPEZA - DIARISTA DIURNO - 44H</v>
      </c>
      <c r="F185" s="36">
        <f>IFERROR(VLOOKUP(D185,'[1]apoio_cód catmas'!$B$2:$C$863,2,FALSE),0)</f>
        <v>106089</v>
      </c>
      <c r="G185" s="33" t="str">
        <f>IF(H185="N/A",VLOOKUP(F185&amp;40,'[1]apoio_cód catmas'!$A$1:$G$233,4,FALSE),VLOOKUP(F185&amp;H185,'[1]apoio_cód catmas'!$A$1:$G$233,4,FALSE))</f>
        <v>AUXILIAR DE LIMPEZA - 22H, 30H, 36H, 40H OU 44H</v>
      </c>
      <c r="H185" s="36">
        <v>44</v>
      </c>
      <c r="I185" s="37">
        <v>0.05</v>
      </c>
      <c r="J185" s="38" t="s">
        <v>47</v>
      </c>
      <c r="K185" s="39">
        <v>756</v>
      </c>
      <c r="L185" s="39">
        <f t="shared" si="77"/>
        <v>45360</v>
      </c>
      <c r="M185" s="40">
        <f>VLOOKUP(D185,[1]apoio_Preços_MGS!$A$6:$AN$238,18,FALSE)</f>
        <v>1794.7362817701783</v>
      </c>
      <c r="N185" s="40">
        <f>VLOOKUP(D185,[1]apoio_Preços_MGS!$A$6:$AN$238,19,FALSE)</f>
        <v>0</v>
      </c>
      <c r="O185" s="40">
        <f>VLOOKUP(D185,[1]apoio_Preços_MGS!$A$6:$AN$238,20,FALSE)</f>
        <v>0</v>
      </c>
      <c r="P185" s="40">
        <f>VLOOKUP(D185,[1]apoio_Preços_MGS!$A$6:$AN$238,21,FALSE)</f>
        <v>0</v>
      </c>
      <c r="Q185" s="40">
        <f>VLOOKUP(D185,[1]apoio_Preços_MGS!$A$6:$AN$238,22,FALSE)</f>
        <v>0</v>
      </c>
      <c r="R185" s="40">
        <f>VLOOKUP(D185,[1]apoio_Preços_MGS!$A$6:$AN$238,23,FALSE)</f>
        <v>0</v>
      </c>
      <c r="S185" s="40">
        <f>VLOOKUP(D185,[1]apoio_Preços_MGS!$A$6:$AN$238,24,FALSE)</f>
        <v>0</v>
      </c>
      <c r="T185" s="40">
        <f>VLOOKUP(D185,[1]apoio_Preços_MGS!$A$6:$AN$238,25,FALSE)</f>
        <v>0</v>
      </c>
      <c r="U185" s="40">
        <f t="shared" si="75"/>
        <v>1794.7362817701783</v>
      </c>
      <c r="V185" s="41">
        <f>VLOOKUP(D185,[1]apoio_Preços_MGS!$A$6:$AN$238,27,FALSE)</f>
        <v>0.81799999999999995</v>
      </c>
      <c r="W185" s="40">
        <f t="shared" si="76"/>
        <v>1468.0942784880058</v>
      </c>
      <c r="X185" s="40">
        <f>VLOOKUP(D185,[1]apoio_Preços_MGS!$A$6:$AN$238,29,FALSE)</f>
        <v>26.905000000000001</v>
      </c>
      <c r="Y185" s="40">
        <f>VLOOKUP(D185,[1]apoio_Preços_MGS!$A$6:$AN$238,30,FALSE)</f>
        <v>43.982906556598273</v>
      </c>
      <c r="Z185" s="40">
        <f t="shared" si="78"/>
        <v>70.887906556598267</v>
      </c>
      <c r="AA185" s="40">
        <f>VLOOKUP(D185,[1]apoio_Preços_MGS!$A$6:$AN$238,32,FALSE)</f>
        <v>3.4458936609987418</v>
      </c>
      <c r="AB185" s="40">
        <f>VLOOKUP(D185,[1]apoio_Preços_MGS!$A$6:$AN$238,33,FALSE)</f>
        <v>208.70493990461293</v>
      </c>
      <c r="AC185" s="41">
        <f>VLOOKUP(D185,[1]apoio_Preços_MGS!$A$6:$AN$238,34,FALSE)</f>
        <v>3.4323193950865784E-2</v>
      </c>
      <c r="AD185" s="40">
        <f>(U185+W185+Z185+AB185+AA185+VLOOKUP(C185,[1]apoio_Prec_Folha!$A:$S,7,FALSE))*AC185</f>
        <v>140.52911139481259</v>
      </c>
      <c r="AE185" s="42">
        <f>VLOOKUP(D185,[1]apoio_Preços_MGS!$A$6:$AN$238,36,FALSE)</f>
        <v>7.0000000000000007E-2</v>
      </c>
      <c r="AF185" s="40">
        <f>(U185+W185+Z185+AB185+AD185+AA185+VLOOKUP(C185,[1]apoio_Prec_Folha!$A:$S,7,FALSE))*AE185</f>
        <v>296.43734112951108</v>
      </c>
      <c r="AG185" s="40">
        <f t="shared" si="79"/>
        <v>3982.83</v>
      </c>
      <c r="AH185" s="43">
        <f t="shared" si="80"/>
        <v>4644.6899999999996</v>
      </c>
      <c r="AI185" s="43">
        <f t="shared" si="81"/>
        <v>3511385.6399999997</v>
      </c>
      <c r="AJ185" s="43">
        <f t="shared" si="82"/>
        <v>210683138.39999998</v>
      </c>
      <c r="AK185" s="44">
        <f>VLOOKUP(D185,[1]apoio_Preços_MGS!$A$6:$AN$238,39,FALSE)</f>
        <v>200.00000000000003</v>
      </c>
      <c r="AL185" s="44">
        <f>IF(J185="demais municípios",VLOOKUP(D185,[1]apoio_Preços_MGS!$A$6:$AN$238,39,FALSE),0)</f>
        <v>0</v>
      </c>
      <c r="AM185" s="44">
        <f>TRUNC(ROUND(($I185)/(1-($I185)),5)*VLOOKUP(D185,[1]apoio_Preços_MGS!$A$6:$AN$238,39,FALSE)+VLOOKUP(D185,[1]apoio_Preços_MGS!$A$6:$AN$238,39,FALSE),2)</f>
        <v>210.52</v>
      </c>
      <c r="AN185" s="45">
        <f t="shared" si="61"/>
        <v>159153.12</v>
      </c>
      <c r="AO185" s="44">
        <f>VLOOKUP(D185,[1]apoio_Preços_MGS!$A$6:$AN$238,40,FALSE)</f>
        <v>548.41999999999996</v>
      </c>
      <c r="AP185" s="44">
        <f>IF(J185="demais municípios",VLOOKUP(D185,[1]apoio_Preços_MGS!$A$6:$AN$238,40,FALSE),0)</f>
        <v>0</v>
      </c>
      <c r="AQ185" s="44">
        <f>TRUNC(ROUND(($I185)/(1-($I185)),5)*VLOOKUP(D185,[1]apoio_Preços_MGS!$A$6:$AN$238,40,FALSE)+VLOOKUP(D185,[1]apoio_Preços_MGS!$A$6:$AN$238,40,FALSE),2)</f>
        <v>577.28</v>
      </c>
      <c r="AR185" s="45">
        <f t="shared" si="62"/>
        <v>436423.67999999999</v>
      </c>
      <c r="AS185" s="45">
        <f t="shared" si="60"/>
        <v>595576.80000000005</v>
      </c>
      <c r="AT185" s="45">
        <f t="shared" si="63"/>
        <v>35734608</v>
      </c>
      <c r="AU185" s="62"/>
      <c r="AV185" s="46"/>
      <c r="AW185" s="47"/>
      <c r="AX185" s="48"/>
      <c r="AY185" s="49"/>
      <c r="BA185" s="48"/>
    </row>
    <row r="186" spans="1:53" ht="19.5" customHeight="1" x14ac:dyDescent="0.25">
      <c r="A186" s="33" t="str">
        <f t="shared" si="58"/>
        <v>106089360,05</v>
      </c>
      <c r="B186" s="33" t="str">
        <f t="shared" si="59"/>
        <v>18960,05</v>
      </c>
      <c r="C186" s="34" t="str">
        <f>VLOOKUP(D186,[1]apoio_Preços_MGS!$A$6:$B$238,2,FALSE)</f>
        <v>AUXILIAR DE LIMPEZA</v>
      </c>
      <c r="D186" s="35">
        <v>1896</v>
      </c>
      <c r="E186" s="33" t="str">
        <f>VLOOKUP(D186,[1]apoio_Preços_MGS!$A$6:$F$238,6,FALSE)</f>
        <v>AUXILIAR DE LIMPEZA - DIARISTA DIURNO - 36H</v>
      </c>
      <c r="F186" s="36">
        <f>IFERROR(VLOOKUP(D186,'[1]apoio_cód catmas'!$B$2:$C$863,2,FALSE),0)</f>
        <v>106089</v>
      </c>
      <c r="G186" s="33" t="str">
        <f>IF(H186="N/A",VLOOKUP(F186&amp;40,'[1]apoio_cód catmas'!$A$1:$G$233,4,FALSE),VLOOKUP(F186&amp;H186,'[1]apoio_cód catmas'!$A$1:$G$233,4,FALSE))</f>
        <v>AUXILIAR DE LIMPEZA - 22H, 30H, 36H, 40H OU 44H</v>
      </c>
      <c r="H186" s="36">
        <v>36</v>
      </c>
      <c r="I186" s="37">
        <v>0.05</v>
      </c>
      <c r="J186" s="38" t="s">
        <v>47</v>
      </c>
      <c r="K186" s="39">
        <v>2</v>
      </c>
      <c r="L186" s="39">
        <f t="shared" si="77"/>
        <v>120</v>
      </c>
      <c r="M186" s="40">
        <f>VLOOKUP(D186,[1]apoio_Preços_MGS!$A$6:$AN$238,18,FALSE)</f>
        <v>1468.4205941756004</v>
      </c>
      <c r="N186" s="40">
        <f>VLOOKUP(D186,[1]apoio_Preços_MGS!$A$6:$AN$238,19,FALSE)</f>
        <v>0</v>
      </c>
      <c r="O186" s="40">
        <f>VLOOKUP(D186,[1]apoio_Preços_MGS!$A$6:$AN$238,20,FALSE)</f>
        <v>0</v>
      </c>
      <c r="P186" s="40">
        <f>VLOOKUP(D186,[1]apoio_Preços_MGS!$A$6:$AN$238,21,FALSE)</f>
        <v>0</v>
      </c>
      <c r="Q186" s="40">
        <f>VLOOKUP(D186,[1]apoio_Preços_MGS!$A$6:$AN$238,22,FALSE)</f>
        <v>0</v>
      </c>
      <c r="R186" s="40">
        <f>VLOOKUP(D186,[1]apoio_Preços_MGS!$A$6:$AN$238,23,FALSE)</f>
        <v>0</v>
      </c>
      <c r="S186" s="40">
        <f>VLOOKUP(D186,[1]apoio_Preços_MGS!$A$6:$AN$238,24,FALSE)</f>
        <v>0</v>
      </c>
      <c r="T186" s="40">
        <f>VLOOKUP(D186,[1]apoio_Preços_MGS!$A$6:$AN$238,25,FALSE)</f>
        <v>0</v>
      </c>
      <c r="U186" s="40">
        <f t="shared" si="75"/>
        <v>1468.4205941756004</v>
      </c>
      <c r="V186" s="41">
        <f>VLOOKUP(D186,[1]apoio_Preços_MGS!$A$6:$AN$238,27,FALSE)</f>
        <v>0.81799999999999995</v>
      </c>
      <c r="W186" s="40">
        <f t="shared" si="76"/>
        <v>1201.1680460356411</v>
      </c>
      <c r="X186" s="40">
        <f>VLOOKUP(D186,[1]apoio_Preços_MGS!$A$6:$AN$238,29,FALSE)</f>
        <v>26.905000000000001</v>
      </c>
      <c r="Y186" s="40">
        <f>VLOOKUP(D186,[1]apoio_Preços_MGS!$A$6:$AN$238,30,FALSE)</f>
        <v>43.982906556598273</v>
      </c>
      <c r="Z186" s="40">
        <f t="shared" si="78"/>
        <v>70.887906556598267</v>
      </c>
      <c r="AA186" s="40">
        <f>VLOOKUP(D186,[1]apoio_Preços_MGS!$A$6:$AN$238,32,FALSE)</f>
        <v>2.8193675408171526</v>
      </c>
      <c r="AB186" s="40">
        <f>VLOOKUP(D186,[1]apoio_Preços_MGS!$A$6:$AN$238,33,FALSE)</f>
        <v>223.5686807631181</v>
      </c>
      <c r="AC186" s="41">
        <f>VLOOKUP(D186,[1]apoio_Preços_MGS!$A$6:$AN$238,34,FALSE)</f>
        <v>3.4323193950865784E-2</v>
      </c>
      <c r="AD186" s="40">
        <f>(U186+W186+Z186+AB186+AA186+VLOOKUP(C186,[1]apoio_Prec_Folha!$A:$S,7,FALSE))*AC186</f>
        <v>120.655820596041</v>
      </c>
      <c r="AE186" s="42">
        <f>VLOOKUP(D186,[1]apoio_Preços_MGS!$A$6:$AN$238,36,FALSE)</f>
        <v>7.0000000000000007E-2</v>
      </c>
      <c r="AF186" s="40">
        <f>(U186+W186+Z186+AB186+AD186+AA186+VLOOKUP(C186,[1]apoio_Prec_Folha!$A:$S,7,FALSE))*AE186</f>
        <v>254.51588140199374</v>
      </c>
      <c r="AG186" s="40">
        <f t="shared" si="79"/>
        <v>3342.03</v>
      </c>
      <c r="AH186" s="43">
        <f t="shared" si="80"/>
        <v>3897.4</v>
      </c>
      <c r="AI186" s="43">
        <f t="shared" si="81"/>
        <v>7794.8</v>
      </c>
      <c r="AJ186" s="43">
        <f t="shared" si="82"/>
        <v>467688</v>
      </c>
      <c r="AK186" s="44">
        <f>VLOOKUP(D186,[1]apoio_Preços_MGS!$A$6:$AN$238,39,FALSE)</f>
        <v>163.63636363636365</v>
      </c>
      <c r="AL186" s="44">
        <f>IF(J186="demais municípios",VLOOKUP(D186,[1]apoio_Preços_MGS!$A$6:$AN$238,39,FALSE),0)</f>
        <v>0</v>
      </c>
      <c r="AM186" s="44">
        <f>TRUNC(ROUND(($I186)/(1-($I186)),5)*VLOOKUP(D186,[1]apoio_Preços_MGS!$A$6:$AN$238,39,FALSE)+VLOOKUP(D186,[1]apoio_Preços_MGS!$A$6:$AN$238,39,FALSE),2)</f>
        <v>172.24</v>
      </c>
      <c r="AN186" s="45">
        <f t="shared" si="61"/>
        <v>344.48</v>
      </c>
      <c r="AO186" s="44">
        <f>VLOOKUP(D186,[1]apoio_Preços_MGS!$A$6:$AN$238,40,FALSE)</f>
        <v>648.13</v>
      </c>
      <c r="AP186" s="44">
        <f>IF(J186="demais municípios",VLOOKUP(D186,[1]apoio_Preços_MGS!$A$6:$AN$238,40,FALSE),0)</f>
        <v>0</v>
      </c>
      <c r="AQ186" s="44">
        <f>TRUNC(ROUND(($I186)/(1-($I186)),5)*VLOOKUP(D186,[1]apoio_Preços_MGS!$A$6:$AN$238,40,FALSE)+VLOOKUP(D186,[1]apoio_Preços_MGS!$A$6:$AN$238,40,FALSE),2)</f>
        <v>682.24</v>
      </c>
      <c r="AR186" s="45">
        <f t="shared" si="62"/>
        <v>1364.48</v>
      </c>
      <c r="AS186" s="45">
        <f t="shared" si="60"/>
        <v>1708.96</v>
      </c>
      <c r="AT186" s="45">
        <f t="shared" si="63"/>
        <v>102537.60000000001</v>
      </c>
      <c r="AU186" s="62"/>
      <c r="AV186" s="46"/>
      <c r="AW186" s="47"/>
      <c r="AX186" s="48"/>
      <c r="AY186" s="49"/>
      <c r="BA186" s="48"/>
    </row>
    <row r="187" spans="1:53" ht="19.5" customHeight="1" x14ac:dyDescent="0.25">
      <c r="A187" s="33" t="str">
        <f t="shared" si="58"/>
        <v>105643440,05</v>
      </c>
      <c r="B187" s="33" t="str">
        <f t="shared" si="59"/>
        <v>11660,05</v>
      </c>
      <c r="C187" s="34" t="str">
        <f>VLOOKUP(D187,[1]apoio_Preços_MGS!$A$6:$B$238,2,FALSE)</f>
        <v>AUXILIAR DE SERVIÇOS</v>
      </c>
      <c r="D187" s="35">
        <v>1166</v>
      </c>
      <c r="E187" s="33" t="str">
        <f>VLOOKUP(D187,[1]apoio_Preços_MGS!$A$6:$F$238,6,FALSE)</f>
        <v>AUXILIAR DE SERVIÇOS - (PERIC.) - 12x36 DIURNO - 44H</v>
      </c>
      <c r="F187" s="36">
        <f>IFERROR(VLOOKUP(D187,'[1]apoio_cód catmas'!$B$2:$C$863,2,FALSE),0)</f>
        <v>105643</v>
      </c>
      <c r="G187" s="33" t="str">
        <f>IF(H187="N/A",VLOOKUP(F187&amp;40,'[1]apoio_cód catmas'!$A$1:$G$233,4,FALSE),VLOOKUP(F187&amp;H187,'[1]apoio_cód catmas'!$A$1:$G$233,4,FALSE))</f>
        <v>AUXILIAR DE SERVICOS - (PERICULOSIDADE) - 12X36 DIURNO - 44 H</v>
      </c>
      <c r="H187" s="36">
        <v>44</v>
      </c>
      <c r="I187" s="37">
        <v>0.05</v>
      </c>
      <c r="J187" s="38" t="s">
        <v>47</v>
      </c>
      <c r="K187" s="39">
        <v>14</v>
      </c>
      <c r="L187" s="39">
        <f t="shared" si="77"/>
        <v>840</v>
      </c>
      <c r="M187" s="40">
        <f>VLOOKUP(D187,[1]apoio_Preços_MGS!$A$6:$AN$238,18,FALSE)</f>
        <v>2007.4599342050217</v>
      </c>
      <c r="N187" s="40">
        <f>VLOOKUP(D187,[1]apoio_Preços_MGS!$A$6:$AN$238,19,FALSE)</f>
        <v>602.23798026150644</v>
      </c>
      <c r="O187" s="40">
        <f>VLOOKUP(D187,[1]apoio_Preços_MGS!$A$6:$AN$238,20,FALSE)</f>
        <v>0</v>
      </c>
      <c r="P187" s="40">
        <f>VLOOKUP(D187,[1]apoio_Preços_MGS!$A$6:$AN$238,21,FALSE)</f>
        <v>0</v>
      </c>
      <c r="Q187" s="40">
        <f>VLOOKUP(D187,[1]apoio_Preços_MGS!$A$6:$AN$238,22,FALSE)</f>
        <v>0</v>
      </c>
      <c r="R187" s="40">
        <f>VLOOKUP(D187,[1]apoio_Preços_MGS!$A$6:$AN$238,23,FALSE)</f>
        <v>0</v>
      </c>
      <c r="S187" s="40">
        <f>VLOOKUP(D187,[1]apoio_Preços_MGS!$A$6:$AN$238,24,FALSE)</f>
        <v>0</v>
      </c>
      <c r="T187" s="40">
        <f>VLOOKUP(D187,[1]apoio_Preços_MGS!$A$6:$AN$238,25,FALSE)</f>
        <v>3.6245804367590675</v>
      </c>
      <c r="U187" s="40">
        <f t="shared" si="75"/>
        <v>2613.3224949032874</v>
      </c>
      <c r="V187" s="41">
        <f>VLOOKUP(D187,[1]apoio_Preços_MGS!$A$6:$AN$238,27,FALSE)</f>
        <v>0.81799999999999995</v>
      </c>
      <c r="W187" s="40">
        <f t="shared" si="76"/>
        <v>2137.6978008308888</v>
      </c>
      <c r="X187" s="40">
        <f>VLOOKUP(D187,[1]apoio_Preços_MGS!$A$6:$AN$238,29,FALSE)</f>
        <v>39.115656565656565</v>
      </c>
      <c r="Y187" s="40">
        <f>VLOOKUP(D187,[1]apoio_Preços_MGS!$A$6:$AN$238,30,FALSE)</f>
        <v>36.846229871941169</v>
      </c>
      <c r="Z187" s="40">
        <f t="shared" si="78"/>
        <v>75.961886437597741</v>
      </c>
      <c r="AA187" s="40">
        <f>VLOOKUP(D187,[1]apoio_Preços_MGS!$A$6:$AN$238,32,FALSE)</f>
        <v>3.8543230736736414</v>
      </c>
      <c r="AB187" s="40">
        <f>VLOOKUP(D187,[1]apoio_Preços_MGS!$A$6:$AN$238,33,FALSE)</f>
        <v>252.91982259414209</v>
      </c>
      <c r="AC187" s="41">
        <f>VLOOKUP(D187,[1]apoio_Preços_MGS!$A$6:$AN$238,34,FALSE)</f>
        <v>0</v>
      </c>
      <c r="AD187" s="40">
        <f>(U187+W187+Z187+AB187+AA187+VLOOKUP(C187,[1]apoio_Prec_Folha!$A:$S,7,FALSE))*AC187</f>
        <v>0</v>
      </c>
      <c r="AE187" s="42">
        <f>VLOOKUP(D187,[1]apoio_Preços_MGS!$A$6:$AN$238,36,FALSE)</f>
        <v>7.0000000000000007E-2</v>
      </c>
      <c r="AF187" s="40">
        <f>(U187+W187+Z187+AB187+AD187+AA187+VLOOKUP(C187,[1]apoio_Prec_Folha!$A:$S,7,FALSE))*AE187</f>
        <v>394.43410863914806</v>
      </c>
      <c r="AG187" s="40">
        <f t="shared" si="79"/>
        <v>5478.19</v>
      </c>
      <c r="AH187" s="43">
        <f t="shared" si="80"/>
        <v>6388.55</v>
      </c>
      <c r="AI187" s="43">
        <f t="shared" si="81"/>
        <v>89439.7</v>
      </c>
      <c r="AJ187" s="43">
        <f t="shared" si="82"/>
        <v>5366382</v>
      </c>
      <c r="AK187" s="44">
        <f>VLOOKUP(D187,[1]apoio_Preços_MGS!$A$6:$AN$238,39,FALSE)</f>
        <v>200.00000000000003</v>
      </c>
      <c r="AL187" s="44">
        <f>IF(J187="demais municípios",VLOOKUP(D187,[1]apoio_Preços_MGS!$A$6:$AN$238,39,FALSE),0)</f>
        <v>0</v>
      </c>
      <c r="AM187" s="44">
        <f>TRUNC(ROUND(($I187)/(1-($I187)),5)*VLOOKUP(D187,[1]apoio_Preços_MGS!$A$6:$AN$238,39,FALSE)+VLOOKUP(D187,[1]apoio_Preços_MGS!$A$6:$AN$238,39,FALSE),2)</f>
        <v>210.52</v>
      </c>
      <c r="AN187" s="45">
        <f t="shared" si="61"/>
        <v>2947.28</v>
      </c>
      <c r="AO187" s="44">
        <f>VLOOKUP(D187,[1]apoio_Preços_MGS!$A$6:$AN$238,40,FALSE)</f>
        <v>551.01</v>
      </c>
      <c r="AP187" s="44">
        <f>IF(J187="demais municípios",VLOOKUP(D187,[1]apoio_Preços_MGS!$A$6:$AN$238,40,FALSE),0)</f>
        <v>0</v>
      </c>
      <c r="AQ187" s="44">
        <f>TRUNC(ROUND(($I187)/(1-($I187)),5)*VLOOKUP(D187,[1]apoio_Preços_MGS!$A$6:$AN$238,40,FALSE)+VLOOKUP(D187,[1]apoio_Preços_MGS!$A$6:$AN$238,40,FALSE),2)</f>
        <v>580</v>
      </c>
      <c r="AR187" s="45">
        <f t="shared" si="62"/>
        <v>8120</v>
      </c>
      <c r="AS187" s="45">
        <f t="shared" si="60"/>
        <v>11067.28</v>
      </c>
      <c r="AT187" s="45">
        <f t="shared" si="63"/>
        <v>664036.80000000005</v>
      </c>
      <c r="AU187" s="62"/>
      <c r="AV187" s="46"/>
      <c r="AW187" s="47"/>
      <c r="AX187" s="48"/>
      <c r="AY187" s="49"/>
      <c r="BA187" s="48"/>
    </row>
    <row r="188" spans="1:53" ht="19.5" customHeight="1" x14ac:dyDescent="0.25">
      <c r="A188" s="33" t="str">
        <f t="shared" si="58"/>
        <v>64386440,02</v>
      </c>
      <c r="B188" s="33" t="str">
        <f t="shared" si="59"/>
        <v>2390,02</v>
      </c>
      <c r="C188" s="34" t="str">
        <f>VLOOKUP(D188,[1]apoio_Preços_MGS!$A$6:$B$238,2,FALSE)</f>
        <v>AUXILIAR DE SERVIÇOS</v>
      </c>
      <c r="D188" s="35">
        <v>239</v>
      </c>
      <c r="E188" s="33" t="str">
        <f>VLOOKUP(D188,[1]apoio_Preços_MGS!$A$6:$F$238,6,FALSE)</f>
        <v>AUXILIAR DE SERVIÇOS - 12x36 DIURNO - 44H</v>
      </c>
      <c r="F188" s="36">
        <f>IFERROR(VLOOKUP(D188,'[1]apoio_cód catmas'!$B$2:$C$863,2,FALSE),0)</f>
        <v>64386</v>
      </c>
      <c r="G188" s="33" t="str">
        <f>IF(H188="N/A",VLOOKUP(F188&amp;40,'[1]apoio_cód catmas'!$A$1:$G$233,4,FALSE),VLOOKUP(F188&amp;H188,'[1]apoio_cód catmas'!$A$1:$G$233,4,FALSE))</f>
        <v>AUXILIAR DE SERVICOS - 12X36 DIURNO - 44H</v>
      </c>
      <c r="H188" s="36">
        <v>44</v>
      </c>
      <c r="I188" s="37">
        <v>0.02</v>
      </c>
      <c r="J188" s="38" t="s">
        <v>46</v>
      </c>
      <c r="K188" s="39">
        <v>18</v>
      </c>
      <c r="L188" s="39">
        <f t="shared" si="77"/>
        <v>1080</v>
      </c>
      <c r="M188" s="40">
        <f>VLOOKUP(D188,[1]apoio_Preços_MGS!$A$6:$AN$238,18,FALSE)</f>
        <v>2007.4599342050217</v>
      </c>
      <c r="N188" s="40">
        <f>VLOOKUP(D188,[1]apoio_Preços_MGS!$A$6:$AN$238,19,FALSE)</f>
        <v>0</v>
      </c>
      <c r="O188" s="40">
        <f>VLOOKUP(D188,[1]apoio_Preços_MGS!$A$6:$AN$238,20,FALSE)</f>
        <v>0</v>
      </c>
      <c r="P188" s="40">
        <f>VLOOKUP(D188,[1]apoio_Preços_MGS!$A$6:$AN$238,21,FALSE)</f>
        <v>0</v>
      </c>
      <c r="Q188" s="40">
        <f>VLOOKUP(D188,[1]apoio_Preços_MGS!$A$6:$AN$238,22,FALSE)</f>
        <v>0</v>
      </c>
      <c r="R188" s="40">
        <f>VLOOKUP(D188,[1]apoio_Preços_MGS!$A$6:$AN$238,23,FALSE)</f>
        <v>0</v>
      </c>
      <c r="S188" s="40">
        <f>VLOOKUP(D188,[1]apoio_Preços_MGS!$A$6:$AN$238,24,FALSE)</f>
        <v>0</v>
      </c>
      <c r="T188" s="40">
        <f>VLOOKUP(D188,[1]apoio_Preços_MGS!$A$6:$AN$238,25,FALSE)</f>
        <v>2.7881387975069747</v>
      </c>
      <c r="U188" s="40">
        <f t="shared" si="75"/>
        <v>2010.2480730025286</v>
      </c>
      <c r="V188" s="41">
        <f>VLOOKUP(D188,[1]apoio_Preços_MGS!$A$6:$AN$238,27,FALSE)</f>
        <v>0.81799999999999995</v>
      </c>
      <c r="W188" s="40">
        <f t="shared" si="76"/>
        <v>1644.3829237160683</v>
      </c>
      <c r="X188" s="40">
        <f>VLOOKUP(D188,[1]apoio_Preços_MGS!$A$6:$AN$238,29,FALSE)</f>
        <v>39.115656565656565</v>
      </c>
      <c r="Y188" s="40">
        <f>VLOOKUP(D188,[1]apoio_Preços_MGS!$A$6:$AN$238,30,FALSE)</f>
        <v>36.846229871941169</v>
      </c>
      <c r="Z188" s="40">
        <f t="shared" si="78"/>
        <v>75.961886437597741</v>
      </c>
      <c r="AA188" s="40">
        <f>VLOOKUP(D188,[1]apoio_Preços_MGS!$A$6:$AN$238,32,FALSE)</f>
        <v>3.8543230736736414</v>
      </c>
      <c r="AB188" s="40">
        <f>VLOOKUP(D188,[1]apoio_Preços_MGS!$A$6:$AN$238,33,FALSE)</f>
        <v>252.91982259414209</v>
      </c>
      <c r="AC188" s="41">
        <f>VLOOKUP(D188,[1]apoio_Preços_MGS!$A$6:$AN$238,34,FALSE)</f>
        <v>0</v>
      </c>
      <c r="AD188" s="40">
        <f>(U188+W188+Z188+AB188+AA188+VLOOKUP(C188,[1]apoio_Prec_Folha!$A:$S,7,FALSE))*AC188</f>
        <v>0</v>
      </c>
      <c r="AE188" s="42">
        <f>VLOOKUP(D188,[1]apoio_Preços_MGS!$A$6:$AN$238,36,FALSE)</f>
        <v>7.0000000000000007E-2</v>
      </c>
      <c r="AF188" s="40">
        <f>(U188+W188+Z188+AB188+AD188+AA188+VLOOKUP(C188,[1]apoio_Prec_Folha!$A:$S,7,FALSE))*AE188</f>
        <v>317.68685770805752</v>
      </c>
      <c r="AG188" s="40">
        <f t="shared" si="79"/>
        <v>4305.05</v>
      </c>
      <c r="AH188" s="43">
        <f t="shared" si="80"/>
        <v>4850.75</v>
      </c>
      <c r="AI188" s="43">
        <f t="shared" si="81"/>
        <v>87313.5</v>
      </c>
      <c r="AJ188" s="43">
        <f t="shared" si="82"/>
        <v>5238810</v>
      </c>
      <c r="AK188" s="44">
        <f>VLOOKUP(D188,[1]apoio_Preços_MGS!$A$6:$AN$238,39,FALSE)</f>
        <v>200.00000000000003</v>
      </c>
      <c r="AL188" s="44">
        <f>IF(J188="demais municípios",VLOOKUP(D188,[1]apoio_Preços_MGS!$A$6:$AN$238,39,FALSE),0)</f>
        <v>200.00000000000003</v>
      </c>
      <c r="AM188" s="44">
        <v>0</v>
      </c>
      <c r="AN188" s="45">
        <f t="shared" ref="AN188:AN193" si="85">AK188*K188</f>
        <v>3600.0000000000005</v>
      </c>
      <c r="AO188" s="44">
        <f>VLOOKUP(D188,[1]apoio_Preços_MGS!$A$6:$AN$238,40,FALSE)</f>
        <v>551.01</v>
      </c>
      <c r="AP188" s="44">
        <f>IF(J188="demais municípios",VLOOKUP(D188,[1]apoio_Preços_MGS!$A$6:$AN$238,40,FALSE),0)</f>
        <v>551.01</v>
      </c>
      <c r="AQ188" s="44">
        <v>0</v>
      </c>
      <c r="AR188" s="45">
        <f t="shared" ref="AR188:AR193" si="86">AO188*K188</f>
        <v>9918.18</v>
      </c>
      <c r="AS188" s="45">
        <f t="shared" si="60"/>
        <v>13518.18</v>
      </c>
      <c r="AT188" s="45">
        <f t="shared" si="63"/>
        <v>811090.8</v>
      </c>
      <c r="AU188" s="62"/>
      <c r="AV188" s="46"/>
      <c r="AW188" s="47"/>
      <c r="AX188" s="48"/>
      <c r="AY188" s="49"/>
      <c r="BA188" s="48"/>
    </row>
    <row r="189" spans="1:53" ht="19.5" customHeight="1" x14ac:dyDescent="0.25">
      <c r="A189" s="33" t="str">
        <f t="shared" si="58"/>
        <v>64386440,03</v>
      </c>
      <c r="B189" s="33" t="str">
        <f t="shared" si="59"/>
        <v>2390,03</v>
      </c>
      <c r="C189" s="34" t="str">
        <f>VLOOKUP(D189,[1]apoio_Preços_MGS!$A$6:$B$238,2,FALSE)</f>
        <v>AUXILIAR DE SERVIÇOS</v>
      </c>
      <c r="D189" s="35">
        <v>239</v>
      </c>
      <c r="E189" s="33" t="str">
        <f>VLOOKUP(D189,[1]apoio_Preços_MGS!$A$6:$F$238,6,FALSE)</f>
        <v>AUXILIAR DE SERVIÇOS - 12x36 DIURNO - 44H</v>
      </c>
      <c r="F189" s="36">
        <f>IFERROR(VLOOKUP(D189,'[1]apoio_cód catmas'!$B$2:$C$863,2,FALSE),0)</f>
        <v>64386</v>
      </c>
      <c r="G189" s="33" t="str">
        <f>IF(H189="N/A",VLOOKUP(F189&amp;40,'[1]apoio_cód catmas'!$A$1:$G$233,4,FALSE),VLOOKUP(F189&amp;H189,'[1]apoio_cód catmas'!$A$1:$G$233,4,FALSE))</f>
        <v>AUXILIAR DE SERVICOS - 12X36 DIURNO - 44H</v>
      </c>
      <c r="H189" s="36">
        <v>44</v>
      </c>
      <c r="I189" s="37">
        <v>0.03</v>
      </c>
      <c r="J189" s="38" t="s">
        <v>46</v>
      </c>
      <c r="K189" s="39">
        <f>28-5</f>
        <v>23</v>
      </c>
      <c r="L189" s="39">
        <f t="shared" si="77"/>
        <v>1380</v>
      </c>
      <c r="M189" s="40">
        <f>VLOOKUP(D189,[1]apoio_Preços_MGS!$A$6:$AN$238,18,FALSE)</f>
        <v>2007.4599342050217</v>
      </c>
      <c r="N189" s="40">
        <f>VLOOKUP(D189,[1]apoio_Preços_MGS!$A$6:$AN$238,19,FALSE)</f>
        <v>0</v>
      </c>
      <c r="O189" s="40">
        <f>VLOOKUP(D189,[1]apoio_Preços_MGS!$A$6:$AN$238,20,FALSE)</f>
        <v>0</v>
      </c>
      <c r="P189" s="40">
        <f>VLOOKUP(D189,[1]apoio_Preços_MGS!$A$6:$AN$238,21,FALSE)</f>
        <v>0</v>
      </c>
      <c r="Q189" s="40">
        <f>VLOOKUP(D189,[1]apoio_Preços_MGS!$A$6:$AN$238,22,FALSE)</f>
        <v>0</v>
      </c>
      <c r="R189" s="40">
        <f>VLOOKUP(D189,[1]apoio_Preços_MGS!$A$6:$AN$238,23,FALSE)</f>
        <v>0</v>
      </c>
      <c r="S189" s="40">
        <f>VLOOKUP(D189,[1]apoio_Preços_MGS!$A$6:$AN$238,24,FALSE)</f>
        <v>0</v>
      </c>
      <c r="T189" s="40">
        <f>VLOOKUP(D189,[1]apoio_Preços_MGS!$A$6:$AN$238,25,FALSE)</f>
        <v>2.7881387975069747</v>
      </c>
      <c r="U189" s="40">
        <f t="shared" si="75"/>
        <v>2010.2480730025286</v>
      </c>
      <c r="V189" s="41">
        <f>VLOOKUP(D189,[1]apoio_Preços_MGS!$A$6:$AN$238,27,FALSE)</f>
        <v>0.81799999999999995</v>
      </c>
      <c r="W189" s="40">
        <f t="shared" si="76"/>
        <v>1644.3829237160683</v>
      </c>
      <c r="X189" s="40">
        <f>VLOOKUP(D189,[1]apoio_Preços_MGS!$A$6:$AN$238,29,FALSE)</f>
        <v>39.115656565656565</v>
      </c>
      <c r="Y189" s="40">
        <f>VLOOKUP(D189,[1]apoio_Preços_MGS!$A$6:$AN$238,30,FALSE)</f>
        <v>36.846229871941169</v>
      </c>
      <c r="Z189" s="40">
        <f t="shared" si="78"/>
        <v>75.961886437597741</v>
      </c>
      <c r="AA189" s="40">
        <f>VLOOKUP(D189,[1]apoio_Preços_MGS!$A$6:$AN$238,32,FALSE)</f>
        <v>3.8543230736736414</v>
      </c>
      <c r="AB189" s="40">
        <f>VLOOKUP(D189,[1]apoio_Preços_MGS!$A$6:$AN$238,33,FALSE)</f>
        <v>252.91982259414209</v>
      </c>
      <c r="AC189" s="41">
        <f>VLOOKUP(D189,[1]apoio_Preços_MGS!$A$6:$AN$238,34,FALSE)</f>
        <v>0</v>
      </c>
      <c r="AD189" s="40">
        <f>(U189+W189+Z189+AB189+AA189+VLOOKUP(C189,[1]apoio_Prec_Folha!$A:$S,7,FALSE))*AC189</f>
        <v>0</v>
      </c>
      <c r="AE189" s="42">
        <f>VLOOKUP(D189,[1]apoio_Preços_MGS!$A$6:$AN$238,36,FALSE)</f>
        <v>7.0000000000000007E-2</v>
      </c>
      <c r="AF189" s="40">
        <f>(U189+W189+Z189+AB189+AD189+AA189+VLOOKUP(C189,[1]apoio_Prec_Folha!$A:$S,7,FALSE))*AE189</f>
        <v>317.68685770805752</v>
      </c>
      <c r="AG189" s="40">
        <f t="shared" si="79"/>
        <v>4305.05</v>
      </c>
      <c r="AH189" s="43">
        <f t="shared" si="80"/>
        <v>4906.03</v>
      </c>
      <c r="AI189" s="43">
        <f t="shared" si="81"/>
        <v>112838.68999999999</v>
      </c>
      <c r="AJ189" s="43">
        <f t="shared" si="82"/>
        <v>6770321.3999999994</v>
      </c>
      <c r="AK189" s="44">
        <f>VLOOKUP(D189,[1]apoio_Preços_MGS!$A$6:$AN$238,39,FALSE)</f>
        <v>200.00000000000003</v>
      </c>
      <c r="AL189" s="44">
        <f>IF(J189="demais municípios",VLOOKUP(D189,[1]apoio_Preços_MGS!$A$6:$AN$238,39,FALSE),0)</f>
        <v>200.00000000000003</v>
      </c>
      <c r="AM189" s="44">
        <v>0</v>
      </c>
      <c r="AN189" s="45">
        <f t="shared" si="85"/>
        <v>4600.0000000000009</v>
      </c>
      <c r="AO189" s="44">
        <f>VLOOKUP(D189,[1]apoio_Preços_MGS!$A$6:$AN$238,40,FALSE)</f>
        <v>551.01</v>
      </c>
      <c r="AP189" s="44">
        <f>IF(J189="demais municípios",VLOOKUP(D189,[1]apoio_Preços_MGS!$A$6:$AN$238,40,FALSE),0)</f>
        <v>551.01</v>
      </c>
      <c r="AQ189" s="44">
        <v>0</v>
      </c>
      <c r="AR189" s="45">
        <f t="shared" si="86"/>
        <v>12673.23</v>
      </c>
      <c r="AS189" s="45">
        <f t="shared" si="60"/>
        <v>17273.23</v>
      </c>
      <c r="AT189" s="45">
        <f t="shared" si="63"/>
        <v>1036393.7999999999</v>
      </c>
      <c r="AU189" s="62"/>
      <c r="AV189" s="46"/>
      <c r="AW189" s="47"/>
      <c r="AX189" s="48"/>
      <c r="AY189" s="49"/>
      <c r="BA189" s="48"/>
    </row>
    <row r="190" spans="1:53" ht="19.5" customHeight="1" x14ac:dyDescent="0.25">
      <c r="A190" s="33" t="str">
        <f t="shared" si="58"/>
        <v>64386440,035</v>
      </c>
      <c r="B190" s="33" t="str">
        <f t="shared" si="59"/>
        <v>2390,035</v>
      </c>
      <c r="C190" s="34" t="str">
        <f>VLOOKUP(D190,[1]apoio_Preços_MGS!$A$6:$B$238,2,FALSE)</f>
        <v>AUXILIAR DE SERVIÇOS</v>
      </c>
      <c r="D190" s="35">
        <v>239</v>
      </c>
      <c r="E190" s="33" t="str">
        <f>VLOOKUP(D190,[1]apoio_Preços_MGS!$A$6:$F$238,6,FALSE)</f>
        <v>AUXILIAR DE SERVIÇOS - 12x36 DIURNO - 44H</v>
      </c>
      <c r="F190" s="36">
        <f>IFERROR(VLOOKUP(D190,'[1]apoio_cód catmas'!$B$2:$C$863,2,FALSE),0)</f>
        <v>64386</v>
      </c>
      <c r="G190" s="33" t="str">
        <f>IF(H190="N/A",VLOOKUP(F190&amp;40,'[1]apoio_cód catmas'!$A$1:$G$233,4,FALSE),VLOOKUP(F190&amp;H190,'[1]apoio_cód catmas'!$A$1:$G$233,4,FALSE))</f>
        <v>AUXILIAR DE SERVICOS - 12X36 DIURNO - 44H</v>
      </c>
      <c r="H190" s="36">
        <v>44</v>
      </c>
      <c r="I190" s="37">
        <v>3.5000000000000003E-2</v>
      </c>
      <c r="J190" s="38" t="s">
        <v>46</v>
      </c>
      <c r="K190" s="39">
        <v>29</v>
      </c>
      <c r="L190" s="39">
        <f t="shared" si="77"/>
        <v>1740</v>
      </c>
      <c r="M190" s="40">
        <f>VLOOKUP(D190,[1]apoio_Preços_MGS!$A$6:$AN$238,18,FALSE)</f>
        <v>2007.4599342050217</v>
      </c>
      <c r="N190" s="40">
        <f>VLOOKUP(D190,[1]apoio_Preços_MGS!$A$6:$AN$238,19,FALSE)</f>
        <v>0</v>
      </c>
      <c r="O190" s="40">
        <f>VLOOKUP(D190,[1]apoio_Preços_MGS!$A$6:$AN$238,20,FALSE)</f>
        <v>0</v>
      </c>
      <c r="P190" s="40">
        <f>VLOOKUP(D190,[1]apoio_Preços_MGS!$A$6:$AN$238,21,FALSE)</f>
        <v>0</v>
      </c>
      <c r="Q190" s="40">
        <f>VLOOKUP(D190,[1]apoio_Preços_MGS!$A$6:$AN$238,22,FALSE)</f>
        <v>0</v>
      </c>
      <c r="R190" s="40">
        <f>VLOOKUP(D190,[1]apoio_Preços_MGS!$A$6:$AN$238,23,FALSE)</f>
        <v>0</v>
      </c>
      <c r="S190" s="40">
        <f>VLOOKUP(D190,[1]apoio_Preços_MGS!$A$6:$AN$238,24,FALSE)</f>
        <v>0</v>
      </c>
      <c r="T190" s="40">
        <f>VLOOKUP(D190,[1]apoio_Preços_MGS!$A$6:$AN$238,25,FALSE)</f>
        <v>2.7881387975069747</v>
      </c>
      <c r="U190" s="40">
        <f t="shared" si="75"/>
        <v>2010.2480730025286</v>
      </c>
      <c r="V190" s="41">
        <f>VLOOKUP(D190,[1]apoio_Preços_MGS!$A$6:$AN$238,27,FALSE)</f>
        <v>0.81799999999999995</v>
      </c>
      <c r="W190" s="40">
        <f t="shared" si="76"/>
        <v>1644.3829237160683</v>
      </c>
      <c r="X190" s="40">
        <f>VLOOKUP(D190,[1]apoio_Preços_MGS!$A$6:$AN$238,29,FALSE)</f>
        <v>39.115656565656565</v>
      </c>
      <c r="Y190" s="40">
        <f>VLOOKUP(D190,[1]apoio_Preços_MGS!$A$6:$AN$238,30,FALSE)</f>
        <v>36.846229871941169</v>
      </c>
      <c r="Z190" s="40">
        <f t="shared" si="78"/>
        <v>75.961886437597741</v>
      </c>
      <c r="AA190" s="40">
        <f>VLOOKUP(D190,[1]apoio_Preços_MGS!$A$6:$AN$238,32,FALSE)</f>
        <v>3.8543230736736414</v>
      </c>
      <c r="AB190" s="40">
        <f>VLOOKUP(D190,[1]apoio_Preços_MGS!$A$6:$AN$238,33,FALSE)</f>
        <v>252.91982259414209</v>
      </c>
      <c r="AC190" s="41">
        <f>VLOOKUP(D190,[1]apoio_Preços_MGS!$A$6:$AN$238,34,FALSE)</f>
        <v>0</v>
      </c>
      <c r="AD190" s="40">
        <f>(U190+W190+Z190+AB190+AA190+VLOOKUP(C190,[1]apoio_Prec_Folha!$A:$S,7,FALSE))*AC190</f>
        <v>0</v>
      </c>
      <c r="AE190" s="42">
        <f>VLOOKUP(D190,[1]apoio_Preços_MGS!$A$6:$AN$238,36,FALSE)</f>
        <v>7.0000000000000007E-2</v>
      </c>
      <c r="AF190" s="40">
        <f>(U190+W190+Z190+AB190+AD190+AA190+VLOOKUP(C190,[1]apoio_Prec_Folha!$A:$S,7,FALSE))*AE190</f>
        <v>317.68685770805752</v>
      </c>
      <c r="AG190" s="40">
        <f t="shared" si="79"/>
        <v>4305.05</v>
      </c>
      <c r="AH190" s="43">
        <f t="shared" si="80"/>
        <v>4934.1400000000003</v>
      </c>
      <c r="AI190" s="43">
        <f t="shared" si="81"/>
        <v>143090.06</v>
      </c>
      <c r="AJ190" s="43">
        <f t="shared" si="82"/>
        <v>8585403.6000000015</v>
      </c>
      <c r="AK190" s="44">
        <f>VLOOKUP(D190,[1]apoio_Preços_MGS!$A$6:$AN$238,39,FALSE)</f>
        <v>200.00000000000003</v>
      </c>
      <c r="AL190" s="44">
        <f>IF(J190="demais municípios",VLOOKUP(D190,[1]apoio_Preços_MGS!$A$6:$AN$238,39,FALSE),0)</f>
        <v>200.00000000000003</v>
      </c>
      <c r="AM190" s="44">
        <v>0</v>
      </c>
      <c r="AN190" s="45">
        <f t="shared" si="85"/>
        <v>5800.0000000000009</v>
      </c>
      <c r="AO190" s="44">
        <f>VLOOKUP(D190,[1]apoio_Preços_MGS!$A$6:$AN$238,40,FALSE)</f>
        <v>551.01</v>
      </c>
      <c r="AP190" s="44">
        <f>IF(J190="demais municípios",VLOOKUP(D190,[1]apoio_Preços_MGS!$A$6:$AN$238,40,FALSE),0)</f>
        <v>551.01</v>
      </c>
      <c r="AQ190" s="44">
        <v>0</v>
      </c>
      <c r="AR190" s="45">
        <f t="shared" si="86"/>
        <v>15979.289999999999</v>
      </c>
      <c r="AS190" s="45">
        <f t="shared" si="60"/>
        <v>21779.29</v>
      </c>
      <c r="AT190" s="45">
        <f t="shared" si="63"/>
        <v>1306757.4000000001</v>
      </c>
      <c r="AU190" s="62"/>
      <c r="AV190" s="46"/>
      <c r="AW190" s="47"/>
      <c r="AX190" s="48"/>
      <c r="AY190" s="49"/>
      <c r="BA190" s="48"/>
    </row>
    <row r="191" spans="1:53" ht="19.5" customHeight="1" x14ac:dyDescent="0.25">
      <c r="A191" s="33" t="str">
        <f t="shared" si="58"/>
        <v>64386440,038</v>
      </c>
      <c r="B191" s="33" t="str">
        <f t="shared" si="59"/>
        <v>2390,038</v>
      </c>
      <c r="C191" s="34" t="str">
        <f>VLOOKUP(D191,[1]apoio_Preços_MGS!$A$6:$B$238,2,FALSE)</f>
        <v>AUXILIAR DE SERVIÇOS</v>
      </c>
      <c r="D191" s="35">
        <v>239</v>
      </c>
      <c r="E191" s="33" t="str">
        <f>VLOOKUP(D191,[1]apoio_Preços_MGS!$A$6:$F$238,6,FALSE)</f>
        <v>AUXILIAR DE SERVIÇOS - 12x36 DIURNO - 44H</v>
      </c>
      <c r="F191" s="36">
        <f>IFERROR(VLOOKUP(D191,'[1]apoio_cód catmas'!$B$2:$C$863,2,FALSE),0)</f>
        <v>64386</v>
      </c>
      <c r="G191" s="33" t="str">
        <f>IF(H191="N/A",VLOOKUP(F191&amp;40,'[1]apoio_cód catmas'!$A$1:$G$233,4,FALSE),VLOOKUP(F191&amp;H191,'[1]apoio_cód catmas'!$A$1:$G$233,4,FALSE))</f>
        <v>AUXILIAR DE SERVICOS - 12X36 DIURNO - 44H</v>
      </c>
      <c r="H191" s="36">
        <v>44</v>
      </c>
      <c r="I191" s="37">
        <v>3.7999999999999999E-2</v>
      </c>
      <c r="J191" s="38" t="s">
        <v>46</v>
      </c>
      <c r="K191" s="39">
        <v>4</v>
      </c>
      <c r="L191" s="39">
        <f t="shared" si="77"/>
        <v>240</v>
      </c>
      <c r="M191" s="40">
        <f>VLOOKUP(D191,[1]apoio_Preços_MGS!$A$6:$AN$238,18,FALSE)</f>
        <v>2007.4599342050217</v>
      </c>
      <c r="N191" s="40">
        <f>VLOOKUP(D191,[1]apoio_Preços_MGS!$A$6:$AN$238,19,FALSE)</f>
        <v>0</v>
      </c>
      <c r="O191" s="40">
        <f>VLOOKUP(D191,[1]apoio_Preços_MGS!$A$6:$AN$238,20,FALSE)</f>
        <v>0</v>
      </c>
      <c r="P191" s="40">
        <f>VLOOKUP(D191,[1]apoio_Preços_MGS!$A$6:$AN$238,21,FALSE)</f>
        <v>0</v>
      </c>
      <c r="Q191" s="40">
        <f>VLOOKUP(D191,[1]apoio_Preços_MGS!$A$6:$AN$238,22,FALSE)</f>
        <v>0</v>
      </c>
      <c r="R191" s="40">
        <f>VLOOKUP(D191,[1]apoio_Preços_MGS!$A$6:$AN$238,23,FALSE)</f>
        <v>0</v>
      </c>
      <c r="S191" s="40">
        <f>VLOOKUP(D191,[1]apoio_Preços_MGS!$A$6:$AN$238,24,FALSE)</f>
        <v>0</v>
      </c>
      <c r="T191" s="40">
        <f>VLOOKUP(D191,[1]apoio_Preços_MGS!$A$6:$AN$238,25,FALSE)</f>
        <v>2.7881387975069747</v>
      </c>
      <c r="U191" s="40">
        <f t="shared" si="75"/>
        <v>2010.2480730025286</v>
      </c>
      <c r="V191" s="41">
        <f>VLOOKUP(D191,[1]apoio_Preços_MGS!$A$6:$AN$238,27,FALSE)</f>
        <v>0.81799999999999995</v>
      </c>
      <c r="W191" s="40">
        <f t="shared" si="76"/>
        <v>1644.3829237160683</v>
      </c>
      <c r="X191" s="40">
        <f>VLOOKUP(D191,[1]apoio_Preços_MGS!$A$6:$AN$238,29,FALSE)</f>
        <v>39.115656565656565</v>
      </c>
      <c r="Y191" s="40">
        <f>VLOOKUP(D191,[1]apoio_Preços_MGS!$A$6:$AN$238,30,FALSE)</f>
        <v>36.846229871941169</v>
      </c>
      <c r="Z191" s="40">
        <f t="shared" si="78"/>
        <v>75.961886437597741</v>
      </c>
      <c r="AA191" s="40">
        <f>VLOOKUP(D191,[1]apoio_Preços_MGS!$A$6:$AN$238,32,FALSE)</f>
        <v>3.8543230736736414</v>
      </c>
      <c r="AB191" s="40">
        <f>VLOOKUP(D191,[1]apoio_Preços_MGS!$A$6:$AN$238,33,FALSE)</f>
        <v>252.91982259414209</v>
      </c>
      <c r="AC191" s="41">
        <f>VLOOKUP(D191,[1]apoio_Preços_MGS!$A$6:$AN$238,34,FALSE)</f>
        <v>0</v>
      </c>
      <c r="AD191" s="40">
        <f>(U191+W191+Z191+AB191+AA191+VLOOKUP(C191,[1]apoio_Prec_Folha!$A:$S,7,FALSE))*AC191</f>
        <v>0</v>
      </c>
      <c r="AE191" s="42">
        <f>VLOOKUP(D191,[1]apoio_Preços_MGS!$A$6:$AN$238,36,FALSE)</f>
        <v>7.0000000000000007E-2</v>
      </c>
      <c r="AF191" s="40">
        <f>(U191+W191+Z191+AB191+AD191+AA191+VLOOKUP(C191,[1]apoio_Prec_Folha!$A:$S,7,FALSE))*AE191</f>
        <v>317.68685770805752</v>
      </c>
      <c r="AG191" s="40">
        <f t="shared" si="79"/>
        <v>4305.05</v>
      </c>
      <c r="AH191" s="43">
        <f t="shared" si="80"/>
        <v>4951.1899999999996</v>
      </c>
      <c r="AI191" s="43">
        <f t="shared" si="81"/>
        <v>19804.759999999998</v>
      </c>
      <c r="AJ191" s="43">
        <f t="shared" si="82"/>
        <v>1188285.5999999999</v>
      </c>
      <c r="AK191" s="44">
        <f>VLOOKUP(D191,[1]apoio_Preços_MGS!$A$6:$AN$238,39,FALSE)</f>
        <v>200.00000000000003</v>
      </c>
      <c r="AL191" s="44">
        <f>IF(J191="demais municípios",VLOOKUP(D191,[1]apoio_Preços_MGS!$A$6:$AN$238,39,FALSE),0)</f>
        <v>200.00000000000003</v>
      </c>
      <c r="AM191" s="44">
        <v>0</v>
      </c>
      <c r="AN191" s="45">
        <f t="shared" si="85"/>
        <v>800.00000000000011</v>
      </c>
      <c r="AO191" s="44">
        <f>VLOOKUP(D191,[1]apoio_Preços_MGS!$A$6:$AN$238,40,FALSE)</f>
        <v>551.01</v>
      </c>
      <c r="AP191" s="44">
        <f>IF(J191="demais municípios",VLOOKUP(D191,[1]apoio_Preços_MGS!$A$6:$AN$238,40,FALSE),0)</f>
        <v>551.01</v>
      </c>
      <c r="AQ191" s="44">
        <v>0</v>
      </c>
      <c r="AR191" s="45">
        <f t="shared" si="86"/>
        <v>2204.04</v>
      </c>
      <c r="AS191" s="45">
        <f t="shared" si="60"/>
        <v>3004.04</v>
      </c>
      <c r="AT191" s="45">
        <f t="shared" si="63"/>
        <v>180242.4</v>
      </c>
      <c r="AU191" s="62"/>
      <c r="AV191" s="46"/>
      <c r="AW191" s="47"/>
      <c r="AX191" s="48"/>
      <c r="AY191" s="49"/>
      <c r="BA191" s="48"/>
    </row>
    <row r="192" spans="1:53" ht="19.5" customHeight="1" x14ac:dyDescent="0.25">
      <c r="A192" s="33" t="str">
        <f t="shared" si="58"/>
        <v>64386440,05</v>
      </c>
      <c r="B192" s="33" t="str">
        <f t="shared" si="59"/>
        <v>2390,05</v>
      </c>
      <c r="C192" s="34" t="str">
        <f>VLOOKUP(D192,[1]apoio_Preços_MGS!$A$6:$B$238,2,FALSE)</f>
        <v>AUXILIAR DE SERVIÇOS</v>
      </c>
      <c r="D192" s="35">
        <v>239</v>
      </c>
      <c r="E192" s="33" t="str">
        <f>VLOOKUP(D192,[1]apoio_Preços_MGS!$A$6:$F$238,6,FALSE)</f>
        <v>AUXILIAR DE SERVIÇOS - 12x36 DIURNO - 44H</v>
      </c>
      <c r="F192" s="36">
        <f>IFERROR(VLOOKUP(D192,'[1]apoio_cód catmas'!$B$2:$C$863,2,FALSE),0)</f>
        <v>64386</v>
      </c>
      <c r="G192" s="33" t="str">
        <f>IF(H192="N/A",VLOOKUP(F192&amp;40,'[1]apoio_cód catmas'!$A$1:$G$233,4,FALSE),VLOOKUP(F192&amp;H192,'[1]apoio_cód catmas'!$A$1:$G$233,4,FALSE))</f>
        <v>AUXILIAR DE SERVICOS - 12X36 DIURNO - 44H</v>
      </c>
      <c r="H192" s="36">
        <v>44</v>
      </c>
      <c r="I192" s="37">
        <v>0.05</v>
      </c>
      <c r="J192" s="38" t="s">
        <v>46</v>
      </c>
      <c r="K192" s="39">
        <v>5</v>
      </c>
      <c r="L192" s="39">
        <f>K192*56</f>
        <v>280</v>
      </c>
      <c r="M192" s="40">
        <f>VLOOKUP(D192,[1]apoio_Preços_MGS!$A$6:$AN$238,18,FALSE)</f>
        <v>2007.4599342050217</v>
      </c>
      <c r="N192" s="40">
        <f>VLOOKUP(D192,[1]apoio_Preços_MGS!$A$6:$AN$238,19,FALSE)</f>
        <v>0</v>
      </c>
      <c r="O192" s="40">
        <f>VLOOKUP(D192,[1]apoio_Preços_MGS!$A$6:$AN$238,20,FALSE)</f>
        <v>0</v>
      </c>
      <c r="P192" s="40">
        <f>VLOOKUP(D192,[1]apoio_Preços_MGS!$A$6:$AN$238,21,FALSE)</f>
        <v>0</v>
      </c>
      <c r="Q192" s="40">
        <f>VLOOKUP(D192,[1]apoio_Preços_MGS!$A$6:$AN$238,22,FALSE)</f>
        <v>0</v>
      </c>
      <c r="R192" s="40">
        <f>VLOOKUP(D192,[1]apoio_Preços_MGS!$A$6:$AN$238,23,FALSE)</f>
        <v>0</v>
      </c>
      <c r="S192" s="40">
        <f>VLOOKUP(D192,[1]apoio_Preços_MGS!$A$6:$AN$238,24,FALSE)</f>
        <v>0</v>
      </c>
      <c r="T192" s="40">
        <f>VLOOKUP(D192,[1]apoio_Preços_MGS!$A$6:$AN$238,25,FALSE)</f>
        <v>2.7881387975069747</v>
      </c>
      <c r="U192" s="40">
        <f t="shared" si="75"/>
        <v>2010.2480730025286</v>
      </c>
      <c r="V192" s="41">
        <f>VLOOKUP(D192,[1]apoio_Preços_MGS!$A$6:$AN$238,27,FALSE)</f>
        <v>0.81799999999999995</v>
      </c>
      <c r="W192" s="40">
        <f t="shared" si="76"/>
        <v>1644.3829237160683</v>
      </c>
      <c r="X192" s="40">
        <f>VLOOKUP(D192,[1]apoio_Preços_MGS!$A$6:$AN$238,29,FALSE)</f>
        <v>39.115656565656565</v>
      </c>
      <c r="Y192" s="40">
        <f>VLOOKUP(D192,[1]apoio_Preços_MGS!$A$6:$AN$238,30,FALSE)</f>
        <v>36.846229871941169</v>
      </c>
      <c r="Z192" s="40">
        <f t="shared" si="78"/>
        <v>75.961886437597741</v>
      </c>
      <c r="AA192" s="40">
        <f>VLOOKUP(D192,[1]apoio_Preços_MGS!$A$6:$AN$238,32,FALSE)</f>
        <v>3.8543230736736414</v>
      </c>
      <c r="AB192" s="40">
        <f>VLOOKUP(D192,[1]apoio_Preços_MGS!$A$6:$AN$238,33,FALSE)</f>
        <v>252.91982259414209</v>
      </c>
      <c r="AC192" s="41">
        <f>VLOOKUP(D192,[1]apoio_Preços_MGS!$A$6:$AN$238,34,FALSE)</f>
        <v>0</v>
      </c>
      <c r="AD192" s="40">
        <f>(U192+W192+Z192+AB192+AA192+VLOOKUP(C192,[1]apoio_Prec_Folha!$A:$S,7,FALSE))*AC192</f>
        <v>0</v>
      </c>
      <c r="AE192" s="42">
        <f>VLOOKUP(D192,[1]apoio_Preços_MGS!$A$6:$AN$238,36,FALSE)</f>
        <v>7.0000000000000007E-2</v>
      </c>
      <c r="AF192" s="40">
        <f>(U192+W192+Z192+AB192+AD192+AA192+VLOOKUP(C192,[1]apoio_Prec_Folha!$A:$S,7,FALSE))*AE192</f>
        <v>317.68685770805752</v>
      </c>
      <c r="AG192" s="40">
        <f t="shared" si="79"/>
        <v>4305.05</v>
      </c>
      <c r="AH192" s="43">
        <f t="shared" si="80"/>
        <v>5020.46</v>
      </c>
      <c r="AI192" s="43">
        <f t="shared" si="81"/>
        <v>25102.3</v>
      </c>
      <c r="AJ192" s="43">
        <f t="shared" si="82"/>
        <v>1405728.8</v>
      </c>
      <c r="AK192" s="44">
        <f>VLOOKUP(D192,[1]apoio_Preços_MGS!$A$6:$AN$238,39,FALSE)</f>
        <v>200.00000000000003</v>
      </c>
      <c r="AL192" s="44">
        <f>IF(J192="demais municípios",VLOOKUP(D192,[1]apoio_Preços_MGS!$A$6:$AN$238,39,FALSE),0)</f>
        <v>200.00000000000003</v>
      </c>
      <c r="AM192" s="44">
        <v>0</v>
      </c>
      <c r="AN192" s="45">
        <f t="shared" si="85"/>
        <v>1000.0000000000001</v>
      </c>
      <c r="AO192" s="44">
        <f>VLOOKUP(D192,[1]apoio_Preços_MGS!$A$6:$AN$238,40,FALSE)</f>
        <v>551.01</v>
      </c>
      <c r="AP192" s="44">
        <f>IF(J192="demais municípios",VLOOKUP(D192,[1]apoio_Preços_MGS!$A$6:$AN$238,40,FALSE),0)</f>
        <v>551.01</v>
      </c>
      <c r="AQ192" s="44">
        <v>0</v>
      </c>
      <c r="AR192" s="45">
        <f t="shared" si="86"/>
        <v>2755.05</v>
      </c>
      <c r="AS192" s="45">
        <f t="shared" si="60"/>
        <v>3755.05</v>
      </c>
      <c r="AT192" s="45">
        <f t="shared" si="63"/>
        <v>225303</v>
      </c>
      <c r="AU192" s="62"/>
      <c r="AV192" s="46"/>
      <c r="AW192" s="47"/>
      <c r="AX192" s="48"/>
      <c r="AY192" s="49"/>
      <c r="BA192" s="48"/>
    </row>
    <row r="193" spans="1:53" ht="19.5" customHeight="1" x14ac:dyDescent="0.25">
      <c r="A193" s="33" t="str">
        <f t="shared" si="58"/>
        <v>64386440,05</v>
      </c>
      <c r="B193" s="33" t="str">
        <f t="shared" si="59"/>
        <v>2390,05</v>
      </c>
      <c r="C193" s="34" t="str">
        <f>VLOOKUP(D193,[1]apoio_Preços_MGS!$A$6:$B$238,2,FALSE)</f>
        <v>AUXILIAR DE SERVIÇOS</v>
      </c>
      <c r="D193" s="35">
        <v>239</v>
      </c>
      <c r="E193" s="33" t="str">
        <f>VLOOKUP(D193,[1]apoio_Preços_MGS!$A$6:$F$238,6,FALSE)</f>
        <v>AUXILIAR DE SERVIÇOS - 12x36 DIURNO - 44H</v>
      </c>
      <c r="F193" s="36">
        <f>IFERROR(VLOOKUP(D193,'[1]apoio_cód catmas'!$B$2:$C$863,2,FALSE),0)</f>
        <v>64386</v>
      </c>
      <c r="G193" s="33" t="str">
        <f>IF(H193="N/A",VLOOKUP(F193&amp;40,'[1]apoio_cód catmas'!$A$1:$G$233,4,FALSE),VLOOKUP(F193&amp;H193,'[1]apoio_cód catmas'!$A$1:$G$233,4,FALSE))</f>
        <v>AUXILIAR DE SERVICOS - 12X36 DIURNO - 44H</v>
      </c>
      <c r="H193" s="36">
        <v>44</v>
      </c>
      <c r="I193" s="37">
        <v>0.05</v>
      </c>
      <c r="J193" s="38" t="s">
        <v>46</v>
      </c>
      <c r="K193" s="39">
        <f>72-K194</f>
        <v>5</v>
      </c>
      <c r="L193" s="39">
        <f t="shared" si="77"/>
        <v>300</v>
      </c>
      <c r="M193" s="40">
        <f>VLOOKUP(D193,[1]apoio_Preços_MGS!$A$6:$AN$238,18,FALSE)</f>
        <v>2007.4599342050217</v>
      </c>
      <c r="N193" s="40">
        <f>VLOOKUP(D193,[1]apoio_Preços_MGS!$A$6:$AN$238,19,FALSE)</f>
        <v>0</v>
      </c>
      <c r="O193" s="40">
        <f>VLOOKUP(D193,[1]apoio_Preços_MGS!$A$6:$AN$238,20,FALSE)</f>
        <v>0</v>
      </c>
      <c r="P193" s="40">
        <f>VLOOKUP(D193,[1]apoio_Preços_MGS!$A$6:$AN$238,21,FALSE)</f>
        <v>0</v>
      </c>
      <c r="Q193" s="40">
        <f>VLOOKUP(D193,[1]apoio_Preços_MGS!$A$6:$AN$238,22,FALSE)</f>
        <v>0</v>
      </c>
      <c r="R193" s="40">
        <f>VLOOKUP(D193,[1]apoio_Preços_MGS!$A$6:$AN$238,23,FALSE)</f>
        <v>0</v>
      </c>
      <c r="S193" s="40">
        <f>VLOOKUP(D193,[1]apoio_Preços_MGS!$A$6:$AN$238,24,FALSE)</f>
        <v>0</v>
      </c>
      <c r="T193" s="40">
        <f>VLOOKUP(D193,[1]apoio_Preços_MGS!$A$6:$AN$238,25,FALSE)</f>
        <v>2.7881387975069747</v>
      </c>
      <c r="U193" s="40">
        <f t="shared" si="75"/>
        <v>2010.2480730025286</v>
      </c>
      <c r="V193" s="41">
        <f>VLOOKUP(D193,[1]apoio_Preços_MGS!$A$6:$AN$238,27,FALSE)</f>
        <v>0.81799999999999995</v>
      </c>
      <c r="W193" s="40">
        <f t="shared" si="76"/>
        <v>1644.3829237160683</v>
      </c>
      <c r="X193" s="40">
        <f>VLOOKUP(D193,[1]apoio_Preços_MGS!$A$6:$AN$238,29,FALSE)</f>
        <v>39.115656565656565</v>
      </c>
      <c r="Y193" s="40">
        <f>VLOOKUP(D193,[1]apoio_Preços_MGS!$A$6:$AN$238,30,FALSE)</f>
        <v>36.846229871941169</v>
      </c>
      <c r="Z193" s="40">
        <f t="shared" si="78"/>
        <v>75.961886437597741</v>
      </c>
      <c r="AA193" s="40">
        <f>VLOOKUP(D193,[1]apoio_Preços_MGS!$A$6:$AN$238,32,FALSE)</f>
        <v>3.8543230736736414</v>
      </c>
      <c r="AB193" s="40">
        <f>VLOOKUP(D193,[1]apoio_Preços_MGS!$A$6:$AN$238,33,FALSE)</f>
        <v>252.91982259414209</v>
      </c>
      <c r="AC193" s="41">
        <f>VLOOKUP(D193,[1]apoio_Preços_MGS!$A$6:$AN$238,34,FALSE)</f>
        <v>0</v>
      </c>
      <c r="AD193" s="40">
        <f>(U193+W193+Z193+AB193+AA193+VLOOKUP(C193,[1]apoio_Prec_Folha!$A:$S,7,FALSE))*AC193</f>
        <v>0</v>
      </c>
      <c r="AE193" s="42">
        <f>VLOOKUP(D193,[1]apoio_Preços_MGS!$A$6:$AN$238,36,FALSE)</f>
        <v>7.0000000000000007E-2</v>
      </c>
      <c r="AF193" s="40">
        <f>(U193+W193+Z193+AB193+AD193+AA193+VLOOKUP(C193,[1]apoio_Prec_Folha!$A:$S,7,FALSE))*AE193</f>
        <v>317.68685770805752</v>
      </c>
      <c r="AG193" s="40">
        <f t="shared" si="79"/>
        <v>4305.05</v>
      </c>
      <c r="AH193" s="43">
        <f t="shared" si="80"/>
        <v>5020.46</v>
      </c>
      <c r="AI193" s="43">
        <f t="shared" si="81"/>
        <v>25102.3</v>
      </c>
      <c r="AJ193" s="43">
        <f t="shared" si="82"/>
        <v>1506138</v>
      </c>
      <c r="AK193" s="44">
        <f>VLOOKUP(D193,[1]apoio_Preços_MGS!$A$6:$AN$238,39,FALSE)</f>
        <v>200.00000000000003</v>
      </c>
      <c r="AL193" s="44">
        <f>IF(J193="demais municípios",VLOOKUP(D193,[1]apoio_Preços_MGS!$A$6:$AN$238,39,FALSE),0)</f>
        <v>200.00000000000003</v>
      </c>
      <c r="AM193" s="44">
        <v>0</v>
      </c>
      <c r="AN193" s="45">
        <f t="shared" si="85"/>
        <v>1000.0000000000001</v>
      </c>
      <c r="AO193" s="44">
        <f>VLOOKUP(D193,[1]apoio_Preços_MGS!$A$6:$AN$238,40,FALSE)</f>
        <v>551.01</v>
      </c>
      <c r="AP193" s="44">
        <f>IF(J193="demais municípios",VLOOKUP(D193,[1]apoio_Preços_MGS!$A$6:$AN$238,40,FALSE),0)</f>
        <v>551.01</v>
      </c>
      <c r="AQ193" s="44">
        <v>0</v>
      </c>
      <c r="AR193" s="45">
        <f t="shared" si="86"/>
        <v>2755.05</v>
      </c>
      <c r="AS193" s="45">
        <f t="shared" si="60"/>
        <v>3755.05</v>
      </c>
      <c r="AT193" s="45">
        <f t="shared" si="63"/>
        <v>225303</v>
      </c>
      <c r="AU193" s="62"/>
      <c r="AV193" s="46"/>
      <c r="AW193" s="47"/>
      <c r="AX193" s="48"/>
      <c r="AY193" s="49"/>
      <c r="BA193" s="48"/>
    </row>
    <row r="194" spans="1:53" ht="19.5" customHeight="1" x14ac:dyDescent="0.25">
      <c r="A194" s="33" t="str">
        <f t="shared" si="58"/>
        <v>64386440,05</v>
      </c>
      <c r="B194" s="33" t="str">
        <f t="shared" si="59"/>
        <v>2390,05</v>
      </c>
      <c r="C194" s="34" t="str">
        <f>VLOOKUP(D194,[1]apoio_Preços_MGS!$A$6:$B$238,2,FALSE)</f>
        <v>AUXILIAR DE SERVIÇOS</v>
      </c>
      <c r="D194" s="35">
        <v>239</v>
      </c>
      <c r="E194" s="33" t="str">
        <f>VLOOKUP(D194,[1]apoio_Preços_MGS!$A$6:$F$238,6,FALSE)</f>
        <v>AUXILIAR DE SERVIÇOS - 12x36 DIURNO - 44H</v>
      </c>
      <c r="F194" s="36">
        <f>IFERROR(VLOOKUP(D194,'[1]apoio_cód catmas'!$B$2:$C$863,2,FALSE),0)</f>
        <v>64386</v>
      </c>
      <c r="G194" s="33" t="str">
        <f>IF(H194="N/A",VLOOKUP(F194&amp;40,'[1]apoio_cód catmas'!$A$1:$G$233,4,FALSE),VLOOKUP(F194&amp;H194,'[1]apoio_cód catmas'!$A$1:$G$233,4,FALSE))</f>
        <v>AUXILIAR DE SERVICOS - 12X36 DIURNO - 44H</v>
      </c>
      <c r="H194" s="36">
        <v>44</v>
      </c>
      <c r="I194" s="37">
        <v>0.05</v>
      </c>
      <c r="J194" s="38" t="s">
        <v>47</v>
      </c>
      <c r="K194" s="39">
        <v>67</v>
      </c>
      <c r="L194" s="39">
        <f t="shared" si="77"/>
        <v>4020</v>
      </c>
      <c r="M194" s="40">
        <f>VLOOKUP(D194,[1]apoio_Preços_MGS!$A$6:$AN$238,18,FALSE)</f>
        <v>2007.4599342050217</v>
      </c>
      <c r="N194" s="40">
        <f>VLOOKUP(D194,[1]apoio_Preços_MGS!$A$6:$AN$238,19,FALSE)</f>
        <v>0</v>
      </c>
      <c r="O194" s="40">
        <f>VLOOKUP(D194,[1]apoio_Preços_MGS!$A$6:$AN$238,20,FALSE)</f>
        <v>0</v>
      </c>
      <c r="P194" s="40">
        <f>VLOOKUP(D194,[1]apoio_Preços_MGS!$A$6:$AN$238,21,FALSE)</f>
        <v>0</v>
      </c>
      <c r="Q194" s="40">
        <f>VLOOKUP(D194,[1]apoio_Preços_MGS!$A$6:$AN$238,22,FALSE)</f>
        <v>0</v>
      </c>
      <c r="R194" s="40">
        <f>VLOOKUP(D194,[1]apoio_Preços_MGS!$A$6:$AN$238,23,FALSE)</f>
        <v>0</v>
      </c>
      <c r="S194" s="40">
        <f>VLOOKUP(D194,[1]apoio_Preços_MGS!$A$6:$AN$238,24,FALSE)</f>
        <v>0</v>
      </c>
      <c r="T194" s="40">
        <f>VLOOKUP(D194,[1]apoio_Preços_MGS!$A$6:$AN$238,25,FALSE)</f>
        <v>2.7881387975069747</v>
      </c>
      <c r="U194" s="40">
        <f t="shared" si="75"/>
        <v>2010.2480730025286</v>
      </c>
      <c r="V194" s="41">
        <f>VLOOKUP(D194,[1]apoio_Preços_MGS!$A$6:$AN$238,27,FALSE)</f>
        <v>0.81799999999999995</v>
      </c>
      <c r="W194" s="40">
        <f t="shared" si="76"/>
        <v>1644.3829237160683</v>
      </c>
      <c r="X194" s="40">
        <f>VLOOKUP(D194,[1]apoio_Preços_MGS!$A$6:$AN$238,29,FALSE)</f>
        <v>39.115656565656565</v>
      </c>
      <c r="Y194" s="40">
        <f>VLOOKUP(D194,[1]apoio_Preços_MGS!$A$6:$AN$238,30,FALSE)</f>
        <v>36.846229871941169</v>
      </c>
      <c r="Z194" s="40">
        <f t="shared" si="78"/>
        <v>75.961886437597741</v>
      </c>
      <c r="AA194" s="40">
        <f>VLOOKUP(D194,[1]apoio_Preços_MGS!$A$6:$AN$238,32,FALSE)</f>
        <v>3.8543230736736414</v>
      </c>
      <c r="AB194" s="40">
        <f>VLOOKUP(D194,[1]apoio_Preços_MGS!$A$6:$AN$238,33,FALSE)</f>
        <v>252.91982259414209</v>
      </c>
      <c r="AC194" s="41">
        <f>VLOOKUP(D194,[1]apoio_Preços_MGS!$A$6:$AN$238,34,FALSE)</f>
        <v>0</v>
      </c>
      <c r="AD194" s="40">
        <f>(U194+W194+Z194+AB194+AA194+VLOOKUP(C194,[1]apoio_Prec_Folha!$A:$S,7,FALSE))*AC194</f>
        <v>0</v>
      </c>
      <c r="AE194" s="42">
        <f>VLOOKUP(D194,[1]apoio_Preços_MGS!$A$6:$AN$238,36,FALSE)</f>
        <v>7.0000000000000007E-2</v>
      </c>
      <c r="AF194" s="40">
        <f>(U194+W194+Z194+AB194+AD194+AA194+VLOOKUP(C194,[1]apoio_Prec_Folha!$A:$S,7,FALSE))*AE194</f>
        <v>317.68685770805752</v>
      </c>
      <c r="AG194" s="40">
        <f t="shared" si="79"/>
        <v>4305.05</v>
      </c>
      <c r="AH194" s="43">
        <f t="shared" si="80"/>
        <v>5020.46</v>
      </c>
      <c r="AI194" s="43">
        <f t="shared" si="81"/>
        <v>336370.82</v>
      </c>
      <c r="AJ194" s="43">
        <f t="shared" si="82"/>
        <v>20182249.199999999</v>
      </c>
      <c r="AK194" s="44">
        <f>VLOOKUP(D194,[1]apoio_Preços_MGS!$A$6:$AN$238,39,FALSE)</f>
        <v>200.00000000000003</v>
      </c>
      <c r="AL194" s="44">
        <f>IF(J194="demais municípios",VLOOKUP(D194,[1]apoio_Preços_MGS!$A$6:$AN$238,39,FALSE),0)</f>
        <v>0</v>
      </c>
      <c r="AM194" s="44">
        <f>TRUNC(ROUND(($I194)/(1-($I194)),5)*VLOOKUP(D194,[1]apoio_Preços_MGS!$A$6:$AN$238,39,FALSE)+VLOOKUP(D194,[1]apoio_Preços_MGS!$A$6:$AN$238,39,FALSE),2)</f>
        <v>210.52</v>
      </c>
      <c r="AN194" s="45">
        <f t="shared" si="61"/>
        <v>14104.84</v>
      </c>
      <c r="AO194" s="44">
        <f>VLOOKUP(D194,[1]apoio_Preços_MGS!$A$6:$AN$238,40,FALSE)</f>
        <v>551.01</v>
      </c>
      <c r="AP194" s="44">
        <f>IF(J194="demais municípios",VLOOKUP(D194,[1]apoio_Preços_MGS!$A$6:$AN$238,40,FALSE),0)</f>
        <v>0</v>
      </c>
      <c r="AQ194" s="44">
        <f>TRUNC(ROUND(($I194)/(1-($I194)),5)*VLOOKUP(D194,[1]apoio_Preços_MGS!$A$6:$AN$238,40,FALSE)+VLOOKUP(D194,[1]apoio_Preços_MGS!$A$6:$AN$238,40,FALSE),2)</f>
        <v>580</v>
      </c>
      <c r="AR194" s="45">
        <f t="shared" si="62"/>
        <v>38860</v>
      </c>
      <c r="AS194" s="45">
        <f t="shared" si="60"/>
        <v>52964.84</v>
      </c>
      <c r="AT194" s="45">
        <f t="shared" si="63"/>
        <v>3177890.4</v>
      </c>
      <c r="AU194" s="62"/>
      <c r="AV194" s="46"/>
      <c r="AW194" s="47"/>
      <c r="AX194" s="48"/>
      <c r="AY194" s="49"/>
      <c r="BA194" s="48"/>
    </row>
    <row r="195" spans="1:53" ht="19.5" customHeight="1" x14ac:dyDescent="0.25">
      <c r="A195" s="33" t="str">
        <f t="shared" ref="A195:A258" si="87">CONCATENATE(F195,H195,I195)</f>
        <v>64076440,02</v>
      </c>
      <c r="B195" s="33" t="str">
        <f t="shared" ref="B195:B258" si="88">CONCATENATE(D195,I195)</f>
        <v>2400,02</v>
      </c>
      <c r="C195" s="34" t="str">
        <f>VLOOKUP(D195,[1]apoio_Preços_MGS!$A$6:$B$238,2,FALSE)</f>
        <v>AUXILIAR DE SERVIÇOS</v>
      </c>
      <c r="D195" s="35">
        <v>240</v>
      </c>
      <c r="E195" s="33" t="str">
        <f>VLOOKUP(D195,[1]apoio_Preços_MGS!$A$6:$F$238,6,FALSE)</f>
        <v>AUXILIAR DE SERVIÇOS - 12x36 NOTURNO - 44H</v>
      </c>
      <c r="F195" s="36">
        <f>IFERROR(VLOOKUP(D195,'[1]apoio_cód catmas'!$B$2:$C$863,2,FALSE),0)</f>
        <v>64076</v>
      </c>
      <c r="G195" s="33" t="str">
        <f>IF(H195="N/A",VLOOKUP(F195&amp;40,'[1]apoio_cód catmas'!$A$1:$G$233,4,FALSE),VLOOKUP(F195&amp;H195,'[1]apoio_cód catmas'!$A$1:$G$233,4,FALSE))</f>
        <v>AUXILIAR DE SERVICOS - 12X36 NOTURNO - 44H</v>
      </c>
      <c r="H195" s="36">
        <v>44</v>
      </c>
      <c r="I195" s="37">
        <v>0.02</v>
      </c>
      <c r="J195" s="38" t="s">
        <v>46</v>
      </c>
      <c r="K195" s="39">
        <v>8</v>
      </c>
      <c r="L195" s="39">
        <f t="shared" si="77"/>
        <v>480</v>
      </c>
      <c r="M195" s="40">
        <f>VLOOKUP(D195,[1]apoio_Preços_MGS!$A$6:$AN$238,18,FALSE)</f>
        <v>2007.4599342050217</v>
      </c>
      <c r="N195" s="40">
        <f>VLOOKUP(D195,[1]apoio_Preços_MGS!$A$6:$AN$238,19,FALSE)</f>
        <v>0</v>
      </c>
      <c r="O195" s="40">
        <f>VLOOKUP(D195,[1]apoio_Preços_MGS!$A$6:$AN$238,20,FALSE)</f>
        <v>467.65677839173458</v>
      </c>
      <c r="P195" s="40">
        <f>VLOOKUP(D195,[1]apoio_Preços_MGS!$A$6:$AN$238,21,FALSE)</f>
        <v>10.20822948824353</v>
      </c>
      <c r="Q195" s="40">
        <f>VLOOKUP(D195,[1]apoio_Preços_MGS!$A$6:$AN$238,22,FALSE)</f>
        <v>38.280849096655068</v>
      </c>
      <c r="R195" s="40">
        <f>VLOOKUP(D195,[1]apoio_Preços_MGS!$A$6:$AN$238,23,FALSE)</f>
        <v>0</v>
      </c>
      <c r="S195" s="40">
        <f>VLOOKUP(D195,[1]apoio_Preços_MGS!$A$6:$AN$238,24,FALSE)</f>
        <v>0</v>
      </c>
      <c r="T195" s="40">
        <f>VLOOKUP(D195,[1]apoio_Preços_MGS!$A$6:$AN$238,25,FALSE)</f>
        <v>2.7881387975069747</v>
      </c>
      <c r="U195" s="40">
        <f t="shared" si="75"/>
        <v>2526.3939299791618</v>
      </c>
      <c r="V195" s="41">
        <f>VLOOKUP(D195,[1]apoio_Preços_MGS!$A$6:$AN$238,27,FALSE)</f>
        <v>0.81799999999999995</v>
      </c>
      <c r="W195" s="40">
        <f t="shared" si="76"/>
        <v>2066.5902347229544</v>
      </c>
      <c r="X195" s="40">
        <f>VLOOKUP(D195,[1]apoio_Preços_MGS!$A$6:$AN$238,29,FALSE)</f>
        <v>39.115656565656565</v>
      </c>
      <c r="Y195" s="40">
        <f>VLOOKUP(D195,[1]apoio_Preços_MGS!$A$6:$AN$238,30,FALSE)</f>
        <v>36.846229871941169</v>
      </c>
      <c r="Z195" s="40">
        <f t="shared" si="78"/>
        <v>75.961886437597741</v>
      </c>
      <c r="AA195" s="40">
        <f>VLOOKUP(D195,[1]apoio_Preços_MGS!$A$6:$AN$238,32,FALSE)</f>
        <v>3.8543230736736414</v>
      </c>
      <c r="AB195" s="40">
        <f>VLOOKUP(D195,[1]apoio_Preços_MGS!$A$6:$AN$238,33,FALSE)</f>
        <v>252.91982259414209</v>
      </c>
      <c r="AC195" s="41">
        <f>VLOOKUP(D195,[1]apoio_Preços_MGS!$A$6:$AN$238,34,FALSE)</f>
        <v>0</v>
      </c>
      <c r="AD195" s="40">
        <f>(U195+W195+Z195+AB195+AA195+VLOOKUP(C195,[1]apoio_Prec_Folha!$A:$S,7,FALSE))*AC195</f>
        <v>0</v>
      </c>
      <c r="AE195" s="42">
        <f>VLOOKUP(D195,[1]apoio_Preços_MGS!$A$6:$AN$238,36,FALSE)</f>
        <v>7.0000000000000007E-2</v>
      </c>
      <c r="AF195" s="40">
        <f>(U195+W195+Z195+AB195+AD195+AA195+VLOOKUP(C195,[1]apoio_Prec_Folha!$A:$S,7,FALSE))*AE195</f>
        <v>383.37157946690388</v>
      </c>
      <c r="AG195" s="40">
        <f t="shared" si="79"/>
        <v>5309.09</v>
      </c>
      <c r="AH195" s="43">
        <f t="shared" si="80"/>
        <v>5982.07</v>
      </c>
      <c r="AI195" s="43">
        <f t="shared" si="81"/>
        <v>47856.56</v>
      </c>
      <c r="AJ195" s="43">
        <f t="shared" si="82"/>
        <v>2871393.5999999996</v>
      </c>
      <c r="AK195" s="44">
        <f>VLOOKUP(D195,[1]apoio_Preços_MGS!$A$6:$AN$238,39,FALSE)</f>
        <v>200.00000000000003</v>
      </c>
      <c r="AL195" s="44">
        <f>IF(J195="demais municípios",VLOOKUP(D195,[1]apoio_Preços_MGS!$A$6:$AN$238,39,FALSE),0)</f>
        <v>200.00000000000003</v>
      </c>
      <c r="AM195" s="44">
        <v>0</v>
      </c>
      <c r="AN195" s="45">
        <f t="shared" ref="AN195:AN198" si="89">AK195*K195</f>
        <v>1600.0000000000002</v>
      </c>
      <c r="AO195" s="44">
        <f>VLOOKUP(D195,[1]apoio_Preços_MGS!$A$6:$AN$238,40,FALSE)</f>
        <v>551.01</v>
      </c>
      <c r="AP195" s="44">
        <f>IF(J195="demais municípios",VLOOKUP(D195,[1]apoio_Preços_MGS!$A$6:$AN$238,40,FALSE),0)</f>
        <v>551.01</v>
      </c>
      <c r="AQ195" s="44">
        <v>0</v>
      </c>
      <c r="AR195" s="45">
        <f t="shared" ref="AR195:AR198" si="90">AO195*K195</f>
        <v>4408.08</v>
      </c>
      <c r="AS195" s="45">
        <f t="shared" ref="AS195:AS259" si="91">AN195+AR195</f>
        <v>6008.08</v>
      </c>
      <c r="AT195" s="45">
        <f t="shared" si="63"/>
        <v>360484.8</v>
      </c>
      <c r="AU195" s="62"/>
      <c r="AV195" s="46"/>
      <c r="AW195" s="47"/>
      <c r="AX195" s="48"/>
      <c r="AY195" s="49"/>
      <c r="BA195" s="48"/>
    </row>
    <row r="196" spans="1:53" ht="19.5" customHeight="1" x14ac:dyDescent="0.25">
      <c r="A196" s="33" t="str">
        <f t="shared" si="87"/>
        <v>64076440,03</v>
      </c>
      <c r="B196" s="33" t="str">
        <f t="shared" si="88"/>
        <v>2400,03</v>
      </c>
      <c r="C196" s="34" t="str">
        <f>VLOOKUP(D196,[1]apoio_Preços_MGS!$A$6:$B$238,2,FALSE)</f>
        <v>AUXILIAR DE SERVIÇOS</v>
      </c>
      <c r="D196" s="35">
        <v>240</v>
      </c>
      <c r="E196" s="33" t="str">
        <f>VLOOKUP(D196,[1]apoio_Preços_MGS!$A$6:$F$238,6,FALSE)</f>
        <v>AUXILIAR DE SERVIÇOS - 12x36 NOTURNO - 44H</v>
      </c>
      <c r="F196" s="36">
        <f>IFERROR(VLOOKUP(D196,'[1]apoio_cód catmas'!$B$2:$C$863,2,FALSE),0)</f>
        <v>64076</v>
      </c>
      <c r="G196" s="33" t="str">
        <f>IF(H196="N/A",VLOOKUP(F196&amp;40,'[1]apoio_cód catmas'!$A$1:$G$233,4,FALSE),VLOOKUP(F196&amp;H196,'[1]apoio_cód catmas'!$A$1:$G$233,4,FALSE))</f>
        <v>AUXILIAR DE SERVICOS - 12X36 NOTURNO - 44H</v>
      </c>
      <c r="H196" s="36">
        <v>44</v>
      </c>
      <c r="I196" s="37">
        <v>0.03</v>
      </c>
      <c r="J196" s="38" t="s">
        <v>46</v>
      </c>
      <c r="K196" s="39">
        <v>4</v>
      </c>
      <c r="L196" s="39">
        <f t="shared" si="77"/>
        <v>240</v>
      </c>
      <c r="M196" s="40">
        <f>VLOOKUP(D196,[1]apoio_Preços_MGS!$A$6:$AN$238,18,FALSE)</f>
        <v>2007.4599342050217</v>
      </c>
      <c r="N196" s="40">
        <f>VLOOKUP(D196,[1]apoio_Preços_MGS!$A$6:$AN$238,19,FALSE)</f>
        <v>0</v>
      </c>
      <c r="O196" s="40">
        <f>VLOOKUP(D196,[1]apoio_Preços_MGS!$A$6:$AN$238,20,FALSE)</f>
        <v>467.65677839173458</v>
      </c>
      <c r="P196" s="40">
        <f>VLOOKUP(D196,[1]apoio_Preços_MGS!$A$6:$AN$238,21,FALSE)</f>
        <v>10.20822948824353</v>
      </c>
      <c r="Q196" s="40">
        <f>VLOOKUP(D196,[1]apoio_Preços_MGS!$A$6:$AN$238,22,FALSE)</f>
        <v>38.280849096655068</v>
      </c>
      <c r="R196" s="40">
        <f>VLOOKUP(D196,[1]apoio_Preços_MGS!$A$6:$AN$238,23,FALSE)</f>
        <v>0</v>
      </c>
      <c r="S196" s="40">
        <f>VLOOKUP(D196,[1]apoio_Preços_MGS!$A$6:$AN$238,24,FALSE)</f>
        <v>0</v>
      </c>
      <c r="T196" s="40">
        <f>VLOOKUP(D196,[1]apoio_Preços_MGS!$A$6:$AN$238,25,FALSE)</f>
        <v>2.7881387975069747</v>
      </c>
      <c r="U196" s="40">
        <f t="shared" si="75"/>
        <v>2526.3939299791618</v>
      </c>
      <c r="V196" s="41">
        <f>VLOOKUP(D196,[1]apoio_Preços_MGS!$A$6:$AN$238,27,FALSE)</f>
        <v>0.81799999999999995</v>
      </c>
      <c r="W196" s="40">
        <f t="shared" si="76"/>
        <v>2066.5902347229544</v>
      </c>
      <c r="X196" s="40">
        <f>VLOOKUP(D196,[1]apoio_Preços_MGS!$A$6:$AN$238,29,FALSE)</f>
        <v>39.115656565656565</v>
      </c>
      <c r="Y196" s="40">
        <f>VLOOKUP(D196,[1]apoio_Preços_MGS!$A$6:$AN$238,30,FALSE)</f>
        <v>36.846229871941169</v>
      </c>
      <c r="Z196" s="40">
        <f t="shared" si="78"/>
        <v>75.961886437597741</v>
      </c>
      <c r="AA196" s="40">
        <f>VLOOKUP(D196,[1]apoio_Preços_MGS!$A$6:$AN$238,32,FALSE)</f>
        <v>3.8543230736736414</v>
      </c>
      <c r="AB196" s="40">
        <f>VLOOKUP(D196,[1]apoio_Preços_MGS!$A$6:$AN$238,33,FALSE)</f>
        <v>252.91982259414209</v>
      </c>
      <c r="AC196" s="41">
        <f>VLOOKUP(D196,[1]apoio_Preços_MGS!$A$6:$AN$238,34,FALSE)</f>
        <v>0</v>
      </c>
      <c r="AD196" s="40">
        <f>(U196+W196+Z196+AB196+AA196+VLOOKUP(C196,[1]apoio_Prec_Folha!$A:$S,7,FALSE))*AC196</f>
        <v>0</v>
      </c>
      <c r="AE196" s="42">
        <f>VLOOKUP(D196,[1]apoio_Preços_MGS!$A$6:$AN$238,36,FALSE)</f>
        <v>7.0000000000000007E-2</v>
      </c>
      <c r="AF196" s="40">
        <f>(U196+W196+Z196+AB196+AD196+AA196+VLOOKUP(C196,[1]apoio_Prec_Folha!$A:$S,7,FALSE))*AE196</f>
        <v>383.37157946690388</v>
      </c>
      <c r="AG196" s="40">
        <f t="shared" si="79"/>
        <v>5309.09</v>
      </c>
      <c r="AH196" s="43">
        <f t="shared" si="80"/>
        <v>6050.23</v>
      </c>
      <c r="AI196" s="43">
        <f t="shared" si="81"/>
        <v>24200.92</v>
      </c>
      <c r="AJ196" s="43">
        <f t="shared" si="82"/>
        <v>1452055.2</v>
      </c>
      <c r="AK196" s="44">
        <f>VLOOKUP(D196,[1]apoio_Preços_MGS!$A$6:$AN$238,39,FALSE)</f>
        <v>200.00000000000003</v>
      </c>
      <c r="AL196" s="44">
        <f>IF(J196="demais municípios",VLOOKUP(D196,[1]apoio_Preços_MGS!$A$6:$AN$238,39,FALSE),0)</f>
        <v>200.00000000000003</v>
      </c>
      <c r="AM196" s="44">
        <v>0</v>
      </c>
      <c r="AN196" s="45">
        <f t="shared" si="89"/>
        <v>800.00000000000011</v>
      </c>
      <c r="AO196" s="44">
        <f>VLOOKUP(D196,[1]apoio_Preços_MGS!$A$6:$AN$238,40,FALSE)</f>
        <v>551.01</v>
      </c>
      <c r="AP196" s="44">
        <f>IF(J196="demais municípios",VLOOKUP(D196,[1]apoio_Preços_MGS!$A$6:$AN$238,40,FALSE),0)</f>
        <v>551.01</v>
      </c>
      <c r="AQ196" s="44">
        <v>0</v>
      </c>
      <c r="AR196" s="45">
        <f t="shared" si="90"/>
        <v>2204.04</v>
      </c>
      <c r="AS196" s="45">
        <f t="shared" si="91"/>
        <v>3004.04</v>
      </c>
      <c r="AT196" s="45">
        <f t="shared" ref="AT196:AT260" si="92">(AN196+AR196)*60</f>
        <v>180242.4</v>
      </c>
      <c r="AU196" s="62"/>
      <c r="AV196" s="46"/>
      <c r="AW196" s="47"/>
      <c r="AX196" s="48"/>
      <c r="AY196" s="49"/>
      <c r="BA196" s="48"/>
    </row>
    <row r="197" spans="1:53" ht="19.5" customHeight="1" x14ac:dyDescent="0.25">
      <c r="A197" s="33" t="str">
        <f t="shared" si="87"/>
        <v>64076440,035</v>
      </c>
      <c r="B197" s="33" t="str">
        <f t="shared" si="88"/>
        <v>2400,035</v>
      </c>
      <c r="C197" s="34" t="str">
        <f>VLOOKUP(D197,[1]apoio_Preços_MGS!$A$6:$B$238,2,FALSE)</f>
        <v>AUXILIAR DE SERVIÇOS</v>
      </c>
      <c r="D197" s="35">
        <v>240</v>
      </c>
      <c r="E197" s="33" t="str">
        <f>VLOOKUP(D197,[1]apoio_Preços_MGS!$A$6:$F$238,6,FALSE)</f>
        <v>AUXILIAR DE SERVIÇOS - 12x36 NOTURNO - 44H</v>
      </c>
      <c r="F197" s="36">
        <f>IFERROR(VLOOKUP(D197,'[1]apoio_cód catmas'!$B$2:$C$863,2,FALSE),0)</f>
        <v>64076</v>
      </c>
      <c r="G197" s="33" t="str">
        <f>IF(H197="N/A",VLOOKUP(F197&amp;40,'[1]apoio_cód catmas'!$A$1:$G$233,4,FALSE),VLOOKUP(F197&amp;H197,'[1]apoio_cód catmas'!$A$1:$G$233,4,FALSE))</f>
        <v>AUXILIAR DE SERVICOS - 12X36 NOTURNO - 44H</v>
      </c>
      <c r="H197" s="36">
        <v>44</v>
      </c>
      <c r="I197" s="37">
        <v>3.5000000000000003E-2</v>
      </c>
      <c r="J197" s="38" t="s">
        <v>46</v>
      </c>
      <c r="K197" s="39">
        <v>8</v>
      </c>
      <c r="L197" s="39">
        <f t="shared" si="77"/>
        <v>480</v>
      </c>
      <c r="M197" s="40">
        <f>VLOOKUP(D197,[1]apoio_Preços_MGS!$A$6:$AN$238,18,FALSE)</f>
        <v>2007.4599342050217</v>
      </c>
      <c r="N197" s="40">
        <f>VLOOKUP(D197,[1]apoio_Preços_MGS!$A$6:$AN$238,19,FALSE)</f>
        <v>0</v>
      </c>
      <c r="O197" s="40">
        <f>VLOOKUP(D197,[1]apoio_Preços_MGS!$A$6:$AN$238,20,FALSE)</f>
        <v>467.65677839173458</v>
      </c>
      <c r="P197" s="40">
        <f>VLOOKUP(D197,[1]apoio_Preços_MGS!$A$6:$AN$238,21,FALSE)</f>
        <v>10.20822948824353</v>
      </c>
      <c r="Q197" s="40">
        <f>VLOOKUP(D197,[1]apoio_Preços_MGS!$A$6:$AN$238,22,FALSE)</f>
        <v>38.280849096655068</v>
      </c>
      <c r="R197" s="40">
        <f>VLOOKUP(D197,[1]apoio_Preços_MGS!$A$6:$AN$238,23,FALSE)</f>
        <v>0</v>
      </c>
      <c r="S197" s="40">
        <f>VLOOKUP(D197,[1]apoio_Preços_MGS!$A$6:$AN$238,24,FALSE)</f>
        <v>0</v>
      </c>
      <c r="T197" s="40">
        <f>VLOOKUP(D197,[1]apoio_Preços_MGS!$A$6:$AN$238,25,FALSE)</f>
        <v>2.7881387975069747</v>
      </c>
      <c r="U197" s="40">
        <f t="shared" si="75"/>
        <v>2526.3939299791618</v>
      </c>
      <c r="V197" s="41">
        <f>VLOOKUP(D197,[1]apoio_Preços_MGS!$A$6:$AN$238,27,FALSE)</f>
        <v>0.81799999999999995</v>
      </c>
      <c r="W197" s="40">
        <f t="shared" si="76"/>
        <v>2066.5902347229544</v>
      </c>
      <c r="X197" s="40">
        <f>VLOOKUP(D197,[1]apoio_Preços_MGS!$A$6:$AN$238,29,FALSE)</f>
        <v>39.115656565656565</v>
      </c>
      <c r="Y197" s="40">
        <f>VLOOKUP(D197,[1]apoio_Preços_MGS!$A$6:$AN$238,30,FALSE)</f>
        <v>36.846229871941169</v>
      </c>
      <c r="Z197" s="40">
        <f t="shared" si="78"/>
        <v>75.961886437597741</v>
      </c>
      <c r="AA197" s="40">
        <f>VLOOKUP(D197,[1]apoio_Preços_MGS!$A$6:$AN$238,32,FALSE)</f>
        <v>3.8543230736736414</v>
      </c>
      <c r="AB197" s="40">
        <f>VLOOKUP(D197,[1]apoio_Preços_MGS!$A$6:$AN$238,33,FALSE)</f>
        <v>252.91982259414209</v>
      </c>
      <c r="AC197" s="41">
        <f>VLOOKUP(D197,[1]apoio_Preços_MGS!$A$6:$AN$238,34,FALSE)</f>
        <v>0</v>
      </c>
      <c r="AD197" s="40">
        <f>(U197+W197+Z197+AB197+AA197+VLOOKUP(C197,[1]apoio_Prec_Folha!$A:$S,7,FALSE))*AC197</f>
        <v>0</v>
      </c>
      <c r="AE197" s="42">
        <f>VLOOKUP(D197,[1]apoio_Preços_MGS!$A$6:$AN$238,36,FALSE)</f>
        <v>7.0000000000000007E-2</v>
      </c>
      <c r="AF197" s="40">
        <f>(U197+W197+Z197+AB197+AD197+AA197+VLOOKUP(C197,[1]apoio_Prec_Folha!$A:$S,7,FALSE))*AE197</f>
        <v>383.37157946690388</v>
      </c>
      <c r="AG197" s="40">
        <f t="shared" si="79"/>
        <v>5309.09</v>
      </c>
      <c r="AH197" s="43">
        <f t="shared" si="80"/>
        <v>6084.9</v>
      </c>
      <c r="AI197" s="43">
        <f t="shared" si="81"/>
        <v>48679.199999999997</v>
      </c>
      <c r="AJ197" s="43">
        <f t="shared" si="82"/>
        <v>2920752</v>
      </c>
      <c r="AK197" s="44">
        <f>VLOOKUP(D197,[1]apoio_Preços_MGS!$A$6:$AN$238,39,FALSE)</f>
        <v>200.00000000000003</v>
      </c>
      <c r="AL197" s="44">
        <f>IF(J197="demais municípios",VLOOKUP(D197,[1]apoio_Preços_MGS!$A$6:$AN$238,39,FALSE),0)</f>
        <v>200.00000000000003</v>
      </c>
      <c r="AM197" s="44">
        <v>0</v>
      </c>
      <c r="AN197" s="45">
        <f t="shared" si="89"/>
        <v>1600.0000000000002</v>
      </c>
      <c r="AO197" s="44">
        <f>VLOOKUP(D197,[1]apoio_Preços_MGS!$A$6:$AN$238,40,FALSE)</f>
        <v>551.01</v>
      </c>
      <c r="AP197" s="44">
        <f>IF(J197="demais municípios",VLOOKUP(D197,[1]apoio_Preços_MGS!$A$6:$AN$238,40,FALSE),0)</f>
        <v>551.01</v>
      </c>
      <c r="AQ197" s="44">
        <v>0</v>
      </c>
      <c r="AR197" s="45">
        <f t="shared" si="90"/>
        <v>4408.08</v>
      </c>
      <c r="AS197" s="45">
        <f t="shared" si="91"/>
        <v>6008.08</v>
      </c>
      <c r="AT197" s="45">
        <f t="shared" si="92"/>
        <v>360484.8</v>
      </c>
      <c r="AU197" s="62"/>
      <c r="AV197" s="46"/>
      <c r="AW197" s="47"/>
      <c r="AX197" s="48"/>
      <c r="AY197" s="49"/>
      <c r="BA197" s="48"/>
    </row>
    <row r="198" spans="1:53" ht="19.5" customHeight="1" x14ac:dyDescent="0.25">
      <c r="A198" s="33" t="str">
        <f t="shared" si="87"/>
        <v>64076440,05</v>
      </c>
      <c r="B198" s="33" t="str">
        <f t="shared" si="88"/>
        <v>2400,05</v>
      </c>
      <c r="C198" s="34" t="str">
        <f>VLOOKUP(D198,[1]apoio_Preços_MGS!$A$6:$B$238,2,FALSE)</f>
        <v>AUXILIAR DE SERVIÇOS</v>
      </c>
      <c r="D198" s="35">
        <v>240</v>
      </c>
      <c r="E198" s="33" t="str">
        <f>VLOOKUP(D198,[1]apoio_Preços_MGS!$A$6:$F$238,6,FALSE)</f>
        <v>AUXILIAR DE SERVIÇOS - 12x36 NOTURNO - 44H</v>
      </c>
      <c r="F198" s="36">
        <f>IFERROR(VLOOKUP(D198,'[1]apoio_cód catmas'!$B$2:$C$863,2,FALSE),0)</f>
        <v>64076</v>
      </c>
      <c r="G198" s="33" t="str">
        <f>IF(H198="N/A",VLOOKUP(F198&amp;40,'[1]apoio_cód catmas'!$A$1:$G$233,4,FALSE),VLOOKUP(F198&amp;H198,'[1]apoio_cód catmas'!$A$1:$G$233,4,FALSE))</f>
        <v>AUXILIAR DE SERVICOS - 12X36 NOTURNO - 44H</v>
      </c>
      <c r="H198" s="36">
        <v>44</v>
      </c>
      <c r="I198" s="37">
        <v>0.05</v>
      </c>
      <c r="J198" s="38" t="s">
        <v>46</v>
      </c>
      <c r="K198" s="39">
        <f>24-K199</f>
        <v>2</v>
      </c>
      <c r="L198" s="39">
        <f t="shared" si="77"/>
        <v>120</v>
      </c>
      <c r="M198" s="40">
        <f>VLOOKUP(D198,[1]apoio_Preços_MGS!$A$6:$AN$238,18,FALSE)</f>
        <v>2007.4599342050217</v>
      </c>
      <c r="N198" s="40">
        <f>VLOOKUP(D198,[1]apoio_Preços_MGS!$A$6:$AN$238,19,FALSE)</f>
        <v>0</v>
      </c>
      <c r="O198" s="40">
        <f>VLOOKUP(D198,[1]apoio_Preços_MGS!$A$6:$AN$238,20,FALSE)</f>
        <v>467.65677839173458</v>
      </c>
      <c r="P198" s="40">
        <f>VLOOKUP(D198,[1]apoio_Preços_MGS!$A$6:$AN$238,21,FALSE)</f>
        <v>10.20822948824353</v>
      </c>
      <c r="Q198" s="40">
        <f>VLOOKUP(D198,[1]apoio_Preços_MGS!$A$6:$AN$238,22,FALSE)</f>
        <v>38.280849096655068</v>
      </c>
      <c r="R198" s="40">
        <f>VLOOKUP(D198,[1]apoio_Preços_MGS!$A$6:$AN$238,23,FALSE)</f>
        <v>0</v>
      </c>
      <c r="S198" s="40">
        <f>VLOOKUP(D198,[1]apoio_Preços_MGS!$A$6:$AN$238,24,FALSE)</f>
        <v>0</v>
      </c>
      <c r="T198" s="40">
        <f>VLOOKUP(D198,[1]apoio_Preços_MGS!$A$6:$AN$238,25,FALSE)</f>
        <v>2.7881387975069747</v>
      </c>
      <c r="U198" s="40">
        <f t="shared" si="75"/>
        <v>2526.3939299791618</v>
      </c>
      <c r="V198" s="41">
        <f>VLOOKUP(D198,[1]apoio_Preços_MGS!$A$6:$AN$238,27,FALSE)</f>
        <v>0.81799999999999995</v>
      </c>
      <c r="W198" s="40">
        <f t="shared" si="76"/>
        <v>2066.5902347229544</v>
      </c>
      <c r="X198" s="40">
        <f>VLOOKUP(D198,[1]apoio_Preços_MGS!$A$6:$AN$238,29,FALSE)</f>
        <v>39.115656565656565</v>
      </c>
      <c r="Y198" s="40">
        <f>VLOOKUP(D198,[1]apoio_Preços_MGS!$A$6:$AN$238,30,FALSE)</f>
        <v>36.846229871941169</v>
      </c>
      <c r="Z198" s="40">
        <f t="shared" si="78"/>
        <v>75.961886437597741</v>
      </c>
      <c r="AA198" s="40">
        <f>VLOOKUP(D198,[1]apoio_Preços_MGS!$A$6:$AN$238,32,FALSE)</f>
        <v>3.8543230736736414</v>
      </c>
      <c r="AB198" s="40">
        <f>VLOOKUP(D198,[1]apoio_Preços_MGS!$A$6:$AN$238,33,FALSE)</f>
        <v>252.91982259414209</v>
      </c>
      <c r="AC198" s="41">
        <f>VLOOKUP(D198,[1]apoio_Preços_MGS!$A$6:$AN$238,34,FALSE)</f>
        <v>0</v>
      </c>
      <c r="AD198" s="40">
        <f>(U198+W198+Z198+AB198+AA198+VLOOKUP(C198,[1]apoio_Prec_Folha!$A:$S,7,FALSE))*AC198</f>
        <v>0</v>
      </c>
      <c r="AE198" s="42">
        <f>VLOOKUP(D198,[1]apoio_Preços_MGS!$A$6:$AN$238,36,FALSE)</f>
        <v>7.0000000000000007E-2</v>
      </c>
      <c r="AF198" s="40">
        <f>(U198+W198+Z198+AB198+AD198+AA198+VLOOKUP(C198,[1]apoio_Prec_Folha!$A:$S,7,FALSE))*AE198</f>
        <v>383.37157946690388</v>
      </c>
      <c r="AG198" s="40">
        <f t="shared" si="79"/>
        <v>5309.09</v>
      </c>
      <c r="AH198" s="43">
        <f t="shared" si="80"/>
        <v>6191.35</v>
      </c>
      <c r="AI198" s="43">
        <f t="shared" si="81"/>
        <v>12382.7</v>
      </c>
      <c r="AJ198" s="43">
        <f t="shared" si="82"/>
        <v>742962</v>
      </c>
      <c r="AK198" s="44">
        <f>VLOOKUP(D198,[1]apoio_Preços_MGS!$A$6:$AN$238,39,FALSE)</f>
        <v>200.00000000000003</v>
      </c>
      <c r="AL198" s="44">
        <f>IF(J198="demais municípios",VLOOKUP(D198,[1]apoio_Preços_MGS!$A$6:$AN$238,39,FALSE),0)</f>
        <v>200.00000000000003</v>
      </c>
      <c r="AM198" s="44">
        <v>0</v>
      </c>
      <c r="AN198" s="45">
        <f t="shared" si="89"/>
        <v>400.00000000000006</v>
      </c>
      <c r="AO198" s="44">
        <f>VLOOKUP(D198,[1]apoio_Preços_MGS!$A$6:$AN$238,40,FALSE)</f>
        <v>551.01</v>
      </c>
      <c r="AP198" s="44">
        <f>IF(J198="demais municípios",VLOOKUP(D198,[1]apoio_Preços_MGS!$A$6:$AN$238,40,FALSE),0)</f>
        <v>551.01</v>
      </c>
      <c r="AQ198" s="44">
        <v>0</v>
      </c>
      <c r="AR198" s="45">
        <f t="shared" si="90"/>
        <v>1102.02</v>
      </c>
      <c r="AS198" s="45">
        <f t="shared" si="91"/>
        <v>1502.02</v>
      </c>
      <c r="AT198" s="45">
        <f t="shared" si="92"/>
        <v>90121.2</v>
      </c>
      <c r="AU198" s="62"/>
      <c r="AV198" s="46"/>
      <c r="AW198" s="47"/>
      <c r="AX198" s="48"/>
      <c r="AY198" s="49"/>
      <c r="BA198" s="48"/>
    </row>
    <row r="199" spans="1:53" ht="19.5" customHeight="1" x14ac:dyDescent="0.25">
      <c r="A199" s="33" t="str">
        <f t="shared" si="87"/>
        <v>64076440,05</v>
      </c>
      <c r="B199" s="33" t="str">
        <f t="shared" si="88"/>
        <v>2400,05</v>
      </c>
      <c r="C199" s="34" t="str">
        <f>VLOOKUP(D199,[1]apoio_Preços_MGS!$A$6:$B$238,2,FALSE)</f>
        <v>AUXILIAR DE SERVIÇOS</v>
      </c>
      <c r="D199" s="35">
        <v>240</v>
      </c>
      <c r="E199" s="33" t="str">
        <f>VLOOKUP(D199,[1]apoio_Preços_MGS!$A$6:$F$238,6,FALSE)</f>
        <v>AUXILIAR DE SERVIÇOS - 12x36 NOTURNO - 44H</v>
      </c>
      <c r="F199" s="36">
        <f>IFERROR(VLOOKUP(D199,'[1]apoio_cód catmas'!$B$2:$C$863,2,FALSE),0)</f>
        <v>64076</v>
      </c>
      <c r="G199" s="33" t="str">
        <f>IF(H199="N/A",VLOOKUP(F199&amp;40,'[1]apoio_cód catmas'!$A$1:$G$233,4,FALSE),VLOOKUP(F199&amp;H199,'[1]apoio_cód catmas'!$A$1:$G$233,4,FALSE))</f>
        <v>AUXILIAR DE SERVICOS - 12X36 NOTURNO - 44H</v>
      </c>
      <c r="H199" s="36">
        <v>44</v>
      </c>
      <c r="I199" s="37">
        <v>0.05</v>
      </c>
      <c r="J199" s="38" t="s">
        <v>47</v>
      </c>
      <c r="K199" s="39">
        <v>22</v>
      </c>
      <c r="L199" s="39">
        <f t="shared" si="77"/>
        <v>1320</v>
      </c>
      <c r="M199" s="40">
        <f>VLOOKUP(D199,[1]apoio_Preços_MGS!$A$6:$AN$238,18,FALSE)</f>
        <v>2007.4599342050217</v>
      </c>
      <c r="N199" s="40">
        <f>VLOOKUP(D199,[1]apoio_Preços_MGS!$A$6:$AN$238,19,FALSE)</f>
        <v>0</v>
      </c>
      <c r="O199" s="40">
        <f>VLOOKUP(D199,[1]apoio_Preços_MGS!$A$6:$AN$238,20,FALSE)</f>
        <v>467.65677839173458</v>
      </c>
      <c r="P199" s="40">
        <f>VLOOKUP(D199,[1]apoio_Preços_MGS!$A$6:$AN$238,21,FALSE)</f>
        <v>10.20822948824353</v>
      </c>
      <c r="Q199" s="40">
        <f>VLOOKUP(D199,[1]apoio_Preços_MGS!$A$6:$AN$238,22,FALSE)</f>
        <v>38.280849096655068</v>
      </c>
      <c r="R199" s="40">
        <f>VLOOKUP(D199,[1]apoio_Preços_MGS!$A$6:$AN$238,23,FALSE)</f>
        <v>0</v>
      </c>
      <c r="S199" s="40">
        <f>VLOOKUP(D199,[1]apoio_Preços_MGS!$A$6:$AN$238,24,FALSE)</f>
        <v>0</v>
      </c>
      <c r="T199" s="40">
        <f>VLOOKUP(D199,[1]apoio_Preços_MGS!$A$6:$AN$238,25,FALSE)</f>
        <v>2.7881387975069747</v>
      </c>
      <c r="U199" s="40">
        <f t="shared" si="75"/>
        <v>2526.3939299791618</v>
      </c>
      <c r="V199" s="41">
        <f>VLOOKUP(D199,[1]apoio_Preços_MGS!$A$6:$AN$238,27,FALSE)</f>
        <v>0.81799999999999995</v>
      </c>
      <c r="W199" s="40">
        <f t="shared" si="76"/>
        <v>2066.5902347229544</v>
      </c>
      <c r="X199" s="40">
        <f>VLOOKUP(D199,[1]apoio_Preços_MGS!$A$6:$AN$238,29,FALSE)</f>
        <v>39.115656565656565</v>
      </c>
      <c r="Y199" s="40">
        <f>VLOOKUP(D199,[1]apoio_Preços_MGS!$A$6:$AN$238,30,FALSE)</f>
        <v>36.846229871941169</v>
      </c>
      <c r="Z199" s="40">
        <f t="shared" si="78"/>
        <v>75.961886437597741</v>
      </c>
      <c r="AA199" s="40">
        <f>VLOOKUP(D199,[1]apoio_Preços_MGS!$A$6:$AN$238,32,FALSE)</f>
        <v>3.8543230736736414</v>
      </c>
      <c r="AB199" s="40">
        <f>VLOOKUP(D199,[1]apoio_Preços_MGS!$A$6:$AN$238,33,FALSE)</f>
        <v>252.91982259414209</v>
      </c>
      <c r="AC199" s="41">
        <f>VLOOKUP(D199,[1]apoio_Preços_MGS!$A$6:$AN$238,34,FALSE)</f>
        <v>0</v>
      </c>
      <c r="AD199" s="40">
        <f>(U199+W199+Z199+AB199+AA199+VLOOKUP(C199,[1]apoio_Prec_Folha!$A:$S,7,FALSE))*AC199</f>
        <v>0</v>
      </c>
      <c r="AE199" s="42">
        <f>VLOOKUP(D199,[1]apoio_Preços_MGS!$A$6:$AN$238,36,FALSE)</f>
        <v>7.0000000000000007E-2</v>
      </c>
      <c r="AF199" s="40">
        <f>(U199+W199+Z199+AB199+AD199+AA199+VLOOKUP(C199,[1]apoio_Prec_Folha!$A:$S,7,FALSE))*AE199</f>
        <v>383.37157946690388</v>
      </c>
      <c r="AG199" s="40">
        <f t="shared" si="79"/>
        <v>5309.09</v>
      </c>
      <c r="AH199" s="43">
        <f t="shared" si="80"/>
        <v>6191.35</v>
      </c>
      <c r="AI199" s="43">
        <f t="shared" si="81"/>
        <v>136209.70000000001</v>
      </c>
      <c r="AJ199" s="43">
        <f t="shared" si="82"/>
        <v>8172582.0000000009</v>
      </c>
      <c r="AK199" s="44">
        <f>VLOOKUP(D199,[1]apoio_Preços_MGS!$A$6:$AN$238,39,FALSE)</f>
        <v>200.00000000000003</v>
      </c>
      <c r="AL199" s="44">
        <f>IF(J199="demais municípios",VLOOKUP(D199,[1]apoio_Preços_MGS!$A$6:$AN$238,39,FALSE),0)</f>
        <v>0</v>
      </c>
      <c r="AM199" s="44">
        <f>TRUNC(ROUND(($I199)/(1-($I199)),5)*VLOOKUP(D199,[1]apoio_Preços_MGS!$A$6:$AN$238,39,FALSE)+VLOOKUP(D199,[1]apoio_Preços_MGS!$A$6:$AN$238,39,FALSE),2)</f>
        <v>210.52</v>
      </c>
      <c r="AN199" s="45">
        <f t="shared" ref="AN199:AN258" si="93">AM199*K199</f>
        <v>4631.4400000000005</v>
      </c>
      <c r="AO199" s="44">
        <f>VLOOKUP(D199,[1]apoio_Preços_MGS!$A$6:$AN$238,40,FALSE)</f>
        <v>551.01</v>
      </c>
      <c r="AP199" s="44">
        <f>IF(J199="demais municípios",VLOOKUP(D199,[1]apoio_Preços_MGS!$A$6:$AN$238,40,FALSE),0)</f>
        <v>0</v>
      </c>
      <c r="AQ199" s="44">
        <f>TRUNC(ROUND(($I199)/(1-($I199)),5)*VLOOKUP(D199,[1]apoio_Preços_MGS!$A$6:$AN$238,40,FALSE)+VLOOKUP(D199,[1]apoio_Preços_MGS!$A$6:$AN$238,40,FALSE),2)</f>
        <v>580</v>
      </c>
      <c r="AR199" s="45">
        <f t="shared" ref="AR199:AR258" si="94">AQ199*K199</f>
        <v>12760</v>
      </c>
      <c r="AS199" s="45">
        <f t="shared" si="91"/>
        <v>17391.440000000002</v>
      </c>
      <c r="AT199" s="45">
        <f t="shared" si="92"/>
        <v>1043486.4000000001</v>
      </c>
      <c r="AU199" s="62"/>
      <c r="AV199" s="46"/>
      <c r="AW199" s="47"/>
      <c r="AX199" s="48"/>
      <c r="AY199" s="49"/>
      <c r="BA199" s="48"/>
    </row>
    <row r="200" spans="1:53" ht="19.5" customHeight="1" x14ac:dyDescent="0.25">
      <c r="A200" s="33" t="str">
        <f t="shared" si="87"/>
        <v>63657400,02</v>
      </c>
      <c r="B200" s="33" t="str">
        <f t="shared" si="88"/>
        <v>2380,02</v>
      </c>
      <c r="C200" s="34" t="str">
        <f>VLOOKUP(D200,[1]apoio_Preços_MGS!$A$6:$B$238,2,FALSE)</f>
        <v>AUXILIAR DE SERVIÇOS</v>
      </c>
      <c r="D200" s="35">
        <v>238</v>
      </c>
      <c r="E200" s="33" t="str">
        <f>VLOOKUP(D200,[1]apoio_Preços_MGS!$A$6:$F$238,6,FALSE)</f>
        <v>AUXILIAR DE SERVIÇOS - DIARISTA DIURNO - 40H</v>
      </c>
      <c r="F200" s="36">
        <f>IFERROR(VLOOKUP(D200,'[1]apoio_cód catmas'!$B$2:$C$863,2,FALSE),0)</f>
        <v>63657</v>
      </c>
      <c r="G200" s="33" t="str">
        <f>IF(H200="N/A",VLOOKUP(F200&amp;40,'[1]apoio_cód catmas'!$A$1:$G$233,4,FALSE),VLOOKUP(F200&amp;H200,'[1]apoio_cód catmas'!$A$1:$G$233,4,FALSE))</f>
        <v>AUXILIAR DE SERVICOS - 40H OU 44H</v>
      </c>
      <c r="H200" s="36">
        <v>40</v>
      </c>
      <c r="I200" s="37">
        <v>0.02</v>
      </c>
      <c r="J200" s="38" t="s">
        <v>46</v>
      </c>
      <c r="K200" s="39">
        <v>10</v>
      </c>
      <c r="L200" s="39">
        <f t="shared" si="77"/>
        <v>600</v>
      </c>
      <c r="M200" s="40">
        <f>VLOOKUP(D200,[1]apoio_Preços_MGS!$A$6:$AN$238,18,FALSE)</f>
        <v>1824.9635765500198</v>
      </c>
      <c r="N200" s="40">
        <f>VLOOKUP(D200,[1]apoio_Preços_MGS!$A$6:$AN$238,19,FALSE)</f>
        <v>0</v>
      </c>
      <c r="O200" s="40">
        <f>VLOOKUP(D200,[1]apoio_Preços_MGS!$A$6:$AN$238,20,FALSE)</f>
        <v>0</v>
      </c>
      <c r="P200" s="40">
        <f>VLOOKUP(D200,[1]apoio_Preços_MGS!$A$6:$AN$238,21,FALSE)</f>
        <v>0</v>
      </c>
      <c r="Q200" s="40">
        <f>VLOOKUP(D200,[1]apoio_Preços_MGS!$A$6:$AN$238,22,FALSE)</f>
        <v>0</v>
      </c>
      <c r="R200" s="40">
        <f>VLOOKUP(D200,[1]apoio_Preços_MGS!$A$6:$AN$238,23,FALSE)</f>
        <v>0</v>
      </c>
      <c r="S200" s="40">
        <f>VLOOKUP(D200,[1]apoio_Preços_MGS!$A$6:$AN$238,24,FALSE)</f>
        <v>0</v>
      </c>
      <c r="T200" s="40">
        <f>VLOOKUP(D200,[1]apoio_Preços_MGS!$A$6:$AN$238,25,FALSE)</f>
        <v>0</v>
      </c>
      <c r="U200" s="40">
        <f t="shared" si="75"/>
        <v>1824.9635765500198</v>
      </c>
      <c r="V200" s="41">
        <f>VLOOKUP(D200,[1]apoio_Preços_MGS!$A$6:$AN$238,27,FALSE)</f>
        <v>0.81799999999999995</v>
      </c>
      <c r="W200" s="40">
        <f t="shared" si="76"/>
        <v>1492.8202056179161</v>
      </c>
      <c r="X200" s="40">
        <f>VLOOKUP(D200,[1]apoio_Preços_MGS!$A$6:$AN$238,29,FALSE)</f>
        <v>39.115656565656565</v>
      </c>
      <c r="Y200" s="40">
        <f>VLOOKUP(D200,[1]apoio_Preços_MGS!$A$6:$AN$238,30,FALSE)</f>
        <v>36.846229871941169</v>
      </c>
      <c r="Z200" s="40">
        <f t="shared" si="78"/>
        <v>75.961886437597741</v>
      </c>
      <c r="AA200" s="40">
        <f>VLOOKUP(D200,[1]apoio_Preços_MGS!$A$6:$AN$238,32,FALSE)</f>
        <v>3.5039300669760376</v>
      </c>
      <c r="AB200" s="40">
        <f>VLOOKUP(D200,[1]apoio_Preços_MGS!$A$6:$AN$238,33,FALSE)</f>
        <v>261.28721323697209</v>
      </c>
      <c r="AC200" s="41">
        <f>VLOOKUP(D200,[1]apoio_Preços_MGS!$A$6:$AN$238,34,FALSE)</f>
        <v>0</v>
      </c>
      <c r="AD200" s="40">
        <f>(U200+W200+Z200+AB200+AA200+VLOOKUP(C200,[1]apoio_Prec_Folha!$A:$S,7,FALSE))*AC200</f>
        <v>0</v>
      </c>
      <c r="AE200" s="42">
        <f>VLOOKUP(D200,[1]apoio_Preços_MGS!$A$6:$AN$238,36,FALSE)</f>
        <v>7.0000000000000007E-2</v>
      </c>
      <c r="AF200" s="40">
        <f>(U200+W200+Z200+AB200+AD200+AA200+VLOOKUP(C200,[1]apoio_Prec_Folha!$A:$S,7,FALSE))*AE200</f>
        <v>294.66874252404045</v>
      </c>
      <c r="AG200" s="40">
        <f t="shared" si="79"/>
        <v>3953.2</v>
      </c>
      <c r="AH200" s="43">
        <f t="shared" si="80"/>
        <v>4454.3</v>
      </c>
      <c r="AI200" s="43">
        <f t="shared" si="81"/>
        <v>44543</v>
      </c>
      <c r="AJ200" s="43">
        <f t="shared" si="82"/>
        <v>2672580</v>
      </c>
      <c r="AK200" s="44">
        <f>VLOOKUP(D200,[1]apoio_Preços_MGS!$A$6:$AN$238,39,FALSE)</f>
        <v>181.81818181818184</v>
      </c>
      <c r="AL200" s="44">
        <f>IF(J200="demais municípios",VLOOKUP(D200,[1]apoio_Preços_MGS!$A$6:$AN$238,39,FALSE),0)</f>
        <v>181.81818181818184</v>
      </c>
      <c r="AM200" s="44">
        <v>0</v>
      </c>
      <c r="AN200" s="45">
        <f t="shared" ref="AN200:AN203" si="95">AK200*K200</f>
        <v>1818.1818181818185</v>
      </c>
      <c r="AO200" s="44">
        <f>VLOOKUP(D200,[1]apoio_Preços_MGS!$A$6:$AN$238,40,FALSE)</f>
        <v>551.01</v>
      </c>
      <c r="AP200" s="44">
        <f>IF(J200="demais municípios",VLOOKUP(D200,[1]apoio_Preços_MGS!$A$6:$AN$238,40,FALSE),0)</f>
        <v>551.01</v>
      </c>
      <c r="AQ200" s="44">
        <v>0</v>
      </c>
      <c r="AR200" s="45">
        <f t="shared" ref="AR200:AR203" si="96">AO200*K200</f>
        <v>5510.1</v>
      </c>
      <c r="AS200" s="45">
        <f t="shared" si="91"/>
        <v>7328.2818181818184</v>
      </c>
      <c r="AT200" s="45">
        <f t="shared" si="92"/>
        <v>439696.90909090912</v>
      </c>
      <c r="AU200" s="62"/>
      <c r="AV200" s="46"/>
      <c r="AW200" s="47"/>
      <c r="AX200" s="48"/>
      <c r="AY200" s="49"/>
      <c r="BA200" s="48"/>
    </row>
    <row r="201" spans="1:53" ht="19.5" customHeight="1" x14ac:dyDescent="0.25">
      <c r="A201" s="33" t="str">
        <f t="shared" si="87"/>
        <v>63657400,03</v>
      </c>
      <c r="B201" s="33" t="str">
        <f t="shared" si="88"/>
        <v>2380,03</v>
      </c>
      <c r="C201" s="34" t="str">
        <f>VLOOKUP(D201,[1]apoio_Preços_MGS!$A$6:$B$238,2,FALSE)</f>
        <v>AUXILIAR DE SERVIÇOS</v>
      </c>
      <c r="D201" s="35">
        <v>238</v>
      </c>
      <c r="E201" s="33" t="str">
        <f>VLOOKUP(D201,[1]apoio_Preços_MGS!$A$6:$F$238,6,FALSE)</f>
        <v>AUXILIAR DE SERVIÇOS - DIARISTA DIURNO - 40H</v>
      </c>
      <c r="F201" s="36">
        <f>IFERROR(VLOOKUP(D201,'[1]apoio_cód catmas'!$B$2:$C$863,2,FALSE),0)</f>
        <v>63657</v>
      </c>
      <c r="G201" s="33" t="str">
        <f>IF(H201="N/A",VLOOKUP(F201&amp;40,'[1]apoio_cód catmas'!$A$1:$G$233,4,FALSE),VLOOKUP(F201&amp;H201,'[1]apoio_cód catmas'!$A$1:$G$233,4,FALSE))</f>
        <v>AUXILIAR DE SERVICOS - 40H OU 44H</v>
      </c>
      <c r="H201" s="36">
        <v>40</v>
      </c>
      <c r="I201" s="37">
        <v>0.03</v>
      </c>
      <c r="J201" s="38" t="s">
        <v>46</v>
      </c>
      <c r="K201" s="39">
        <v>25</v>
      </c>
      <c r="L201" s="39">
        <f t="shared" si="77"/>
        <v>1500</v>
      </c>
      <c r="M201" s="40">
        <f>VLOOKUP(D201,[1]apoio_Preços_MGS!$A$6:$AN$238,18,FALSE)</f>
        <v>1824.9635765500198</v>
      </c>
      <c r="N201" s="40">
        <f>VLOOKUP(D201,[1]apoio_Preços_MGS!$A$6:$AN$238,19,FALSE)</f>
        <v>0</v>
      </c>
      <c r="O201" s="40">
        <f>VLOOKUP(D201,[1]apoio_Preços_MGS!$A$6:$AN$238,20,FALSE)</f>
        <v>0</v>
      </c>
      <c r="P201" s="40">
        <f>VLOOKUP(D201,[1]apoio_Preços_MGS!$A$6:$AN$238,21,FALSE)</f>
        <v>0</v>
      </c>
      <c r="Q201" s="40">
        <f>VLOOKUP(D201,[1]apoio_Preços_MGS!$A$6:$AN$238,22,FALSE)</f>
        <v>0</v>
      </c>
      <c r="R201" s="40">
        <f>VLOOKUP(D201,[1]apoio_Preços_MGS!$A$6:$AN$238,23,FALSE)</f>
        <v>0</v>
      </c>
      <c r="S201" s="40">
        <f>VLOOKUP(D201,[1]apoio_Preços_MGS!$A$6:$AN$238,24,FALSE)</f>
        <v>0</v>
      </c>
      <c r="T201" s="40">
        <f>VLOOKUP(D201,[1]apoio_Preços_MGS!$A$6:$AN$238,25,FALSE)</f>
        <v>0</v>
      </c>
      <c r="U201" s="40">
        <f t="shared" si="75"/>
        <v>1824.9635765500198</v>
      </c>
      <c r="V201" s="41">
        <f>VLOOKUP(D201,[1]apoio_Preços_MGS!$A$6:$AN$238,27,FALSE)</f>
        <v>0.81799999999999995</v>
      </c>
      <c r="W201" s="40">
        <f t="shared" si="76"/>
        <v>1492.8202056179161</v>
      </c>
      <c r="X201" s="40">
        <f>VLOOKUP(D201,[1]apoio_Preços_MGS!$A$6:$AN$238,29,FALSE)</f>
        <v>39.115656565656565</v>
      </c>
      <c r="Y201" s="40">
        <f>VLOOKUP(D201,[1]apoio_Preços_MGS!$A$6:$AN$238,30,FALSE)</f>
        <v>36.846229871941169</v>
      </c>
      <c r="Z201" s="40">
        <f t="shared" si="78"/>
        <v>75.961886437597741</v>
      </c>
      <c r="AA201" s="40">
        <f>VLOOKUP(D201,[1]apoio_Preços_MGS!$A$6:$AN$238,32,FALSE)</f>
        <v>3.5039300669760376</v>
      </c>
      <c r="AB201" s="40">
        <f>VLOOKUP(D201,[1]apoio_Preços_MGS!$A$6:$AN$238,33,FALSE)</f>
        <v>261.28721323697209</v>
      </c>
      <c r="AC201" s="41">
        <f>VLOOKUP(D201,[1]apoio_Preços_MGS!$A$6:$AN$238,34,FALSE)</f>
        <v>0</v>
      </c>
      <c r="AD201" s="40">
        <f>(U201+W201+Z201+AB201+AA201+VLOOKUP(C201,[1]apoio_Prec_Folha!$A:$S,7,FALSE))*AC201</f>
        <v>0</v>
      </c>
      <c r="AE201" s="42">
        <f>VLOOKUP(D201,[1]apoio_Preços_MGS!$A$6:$AN$238,36,FALSE)</f>
        <v>7.0000000000000007E-2</v>
      </c>
      <c r="AF201" s="40">
        <f>(U201+W201+Z201+AB201+AD201+AA201+VLOOKUP(C201,[1]apoio_Prec_Folha!$A:$S,7,FALSE))*AE201</f>
        <v>294.66874252404045</v>
      </c>
      <c r="AG201" s="40">
        <f t="shared" si="79"/>
        <v>3953.2</v>
      </c>
      <c r="AH201" s="43">
        <f t="shared" si="80"/>
        <v>4505.0600000000004</v>
      </c>
      <c r="AI201" s="43">
        <f t="shared" si="81"/>
        <v>112626.50000000001</v>
      </c>
      <c r="AJ201" s="43">
        <f t="shared" si="82"/>
        <v>6757590.0000000009</v>
      </c>
      <c r="AK201" s="44">
        <f>VLOOKUP(D201,[1]apoio_Preços_MGS!$A$6:$AN$238,39,FALSE)</f>
        <v>181.81818181818184</v>
      </c>
      <c r="AL201" s="44">
        <f>IF(J201="demais municípios",VLOOKUP(D201,[1]apoio_Preços_MGS!$A$6:$AN$238,39,FALSE),0)</f>
        <v>181.81818181818184</v>
      </c>
      <c r="AM201" s="44">
        <v>0</v>
      </c>
      <c r="AN201" s="45">
        <f t="shared" si="95"/>
        <v>4545.454545454546</v>
      </c>
      <c r="AO201" s="44">
        <f>VLOOKUP(D201,[1]apoio_Preços_MGS!$A$6:$AN$238,40,FALSE)</f>
        <v>551.01</v>
      </c>
      <c r="AP201" s="44">
        <f>IF(J201="demais municípios",VLOOKUP(D201,[1]apoio_Preços_MGS!$A$6:$AN$238,40,FALSE),0)</f>
        <v>551.01</v>
      </c>
      <c r="AQ201" s="44">
        <v>0</v>
      </c>
      <c r="AR201" s="45">
        <f t="shared" si="96"/>
        <v>13775.25</v>
      </c>
      <c r="AS201" s="45">
        <f t="shared" si="91"/>
        <v>18320.704545454544</v>
      </c>
      <c r="AT201" s="45">
        <f t="shared" si="92"/>
        <v>1099242.2727272727</v>
      </c>
      <c r="AU201" s="62"/>
      <c r="AV201" s="46"/>
      <c r="AW201" s="47"/>
      <c r="AX201" s="48"/>
      <c r="AY201" s="49"/>
      <c r="BA201" s="48"/>
    </row>
    <row r="202" spans="1:53" ht="19.5" customHeight="1" x14ac:dyDescent="0.25">
      <c r="A202" s="33" t="str">
        <f t="shared" si="87"/>
        <v>63657400,04</v>
      </c>
      <c r="B202" s="33" t="str">
        <f t="shared" si="88"/>
        <v>2380,04</v>
      </c>
      <c r="C202" s="34" t="str">
        <f>VLOOKUP(D202,[1]apoio_Preços_MGS!$A$6:$B$238,2,FALSE)</f>
        <v>AUXILIAR DE SERVIÇOS</v>
      </c>
      <c r="D202" s="35">
        <v>238</v>
      </c>
      <c r="E202" s="33" t="str">
        <f>VLOOKUP(D202,[1]apoio_Preços_MGS!$A$6:$F$238,6,FALSE)</f>
        <v>AUXILIAR DE SERVIÇOS - DIARISTA DIURNO - 40H</v>
      </c>
      <c r="F202" s="36">
        <f>IFERROR(VLOOKUP(D202,'[1]apoio_cód catmas'!$B$2:$C$863,2,FALSE),0)</f>
        <v>63657</v>
      </c>
      <c r="G202" s="33" t="str">
        <f>IF(H202="N/A",VLOOKUP(F202&amp;40,'[1]apoio_cód catmas'!$A$1:$G$233,4,FALSE),VLOOKUP(F202&amp;H202,'[1]apoio_cód catmas'!$A$1:$G$233,4,FALSE))</f>
        <v>AUXILIAR DE SERVICOS - 40H OU 44H</v>
      </c>
      <c r="H202" s="36">
        <v>40</v>
      </c>
      <c r="I202" s="37">
        <v>0.04</v>
      </c>
      <c r="J202" s="38" t="s">
        <v>46</v>
      </c>
      <c r="K202" s="39">
        <v>7</v>
      </c>
      <c r="L202" s="39">
        <f t="shared" si="77"/>
        <v>420</v>
      </c>
      <c r="M202" s="40">
        <f>VLOOKUP(D202,[1]apoio_Preços_MGS!$A$6:$AN$238,18,FALSE)</f>
        <v>1824.9635765500198</v>
      </c>
      <c r="N202" s="40">
        <f>VLOOKUP(D202,[1]apoio_Preços_MGS!$A$6:$AN$238,19,FALSE)</f>
        <v>0</v>
      </c>
      <c r="O202" s="40">
        <f>VLOOKUP(D202,[1]apoio_Preços_MGS!$A$6:$AN$238,20,FALSE)</f>
        <v>0</v>
      </c>
      <c r="P202" s="40">
        <f>VLOOKUP(D202,[1]apoio_Preços_MGS!$A$6:$AN$238,21,FALSE)</f>
        <v>0</v>
      </c>
      <c r="Q202" s="40">
        <f>VLOOKUP(D202,[1]apoio_Preços_MGS!$A$6:$AN$238,22,FALSE)</f>
        <v>0</v>
      </c>
      <c r="R202" s="40">
        <f>VLOOKUP(D202,[1]apoio_Preços_MGS!$A$6:$AN$238,23,FALSE)</f>
        <v>0</v>
      </c>
      <c r="S202" s="40">
        <f>VLOOKUP(D202,[1]apoio_Preços_MGS!$A$6:$AN$238,24,FALSE)</f>
        <v>0</v>
      </c>
      <c r="T202" s="40">
        <f>VLOOKUP(D202,[1]apoio_Preços_MGS!$A$6:$AN$238,25,FALSE)</f>
        <v>0</v>
      </c>
      <c r="U202" s="40">
        <f t="shared" si="75"/>
        <v>1824.9635765500198</v>
      </c>
      <c r="V202" s="41">
        <f>VLOOKUP(D202,[1]apoio_Preços_MGS!$A$6:$AN$238,27,FALSE)</f>
        <v>0.81799999999999995</v>
      </c>
      <c r="W202" s="40">
        <f t="shared" si="76"/>
        <v>1492.8202056179161</v>
      </c>
      <c r="X202" s="40">
        <f>VLOOKUP(D202,[1]apoio_Preços_MGS!$A$6:$AN$238,29,FALSE)</f>
        <v>39.115656565656565</v>
      </c>
      <c r="Y202" s="40">
        <f>VLOOKUP(D202,[1]apoio_Preços_MGS!$A$6:$AN$238,30,FALSE)</f>
        <v>36.846229871941169</v>
      </c>
      <c r="Z202" s="40">
        <f t="shared" si="78"/>
        <v>75.961886437597741</v>
      </c>
      <c r="AA202" s="40">
        <f>VLOOKUP(D202,[1]apoio_Preços_MGS!$A$6:$AN$238,32,FALSE)</f>
        <v>3.5039300669760376</v>
      </c>
      <c r="AB202" s="40">
        <f>VLOOKUP(D202,[1]apoio_Preços_MGS!$A$6:$AN$238,33,FALSE)</f>
        <v>261.28721323697209</v>
      </c>
      <c r="AC202" s="41">
        <f>VLOOKUP(D202,[1]apoio_Preços_MGS!$A$6:$AN$238,34,FALSE)</f>
        <v>0</v>
      </c>
      <c r="AD202" s="40">
        <f>(U202+W202+Z202+AB202+AA202+VLOOKUP(C202,[1]apoio_Prec_Folha!$A:$S,7,FALSE))*AC202</f>
        <v>0</v>
      </c>
      <c r="AE202" s="42">
        <f>VLOOKUP(D202,[1]apoio_Preços_MGS!$A$6:$AN$238,36,FALSE)</f>
        <v>7.0000000000000007E-2</v>
      </c>
      <c r="AF202" s="40">
        <f>(U202+W202+Z202+AB202+AD202+AA202+VLOOKUP(C202,[1]apoio_Prec_Folha!$A:$S,7,FALSE))*AE202</f>
        <v>294.66874252404045</v>
      </c>
      <c r="AG202" s="40">
        <f t="shared" si="79"/>
        <v>3953.2</v>
      </c>
      <c r="AH202" s="43">
        <f t="shared" si="80"/>
        <v>4557.01</v>
      </c>
      <c r="AI202" s="43">
        <f t="shared" si="81"/>
        <v>31899.07</v>
      </c>
      <c r="AJ202" s="43">
        <f t="shared" si="82"/>
        <v>1913944.2000000002</v>
      </c>
      <c r="AK202" s="44">
        <f>VLOOKUP(D202,[1]apoio_Preços_MGS!$A$6:$AN$238,39,FALSE)</f>
        <v>181.81818181818184</v>
      </c>
      <c r="AL202" s="44">
        <f>IF(J202="demais municípios",VLOOKUP(D202,[1]apoio_Preços_MGS!$A$6:$AN$238,39,FALSE),0)</f>
        <v>181.81818181818184</v>
      </c>
      <c r="AM202" s="44">
        <v>0</v>
      </c>
      <c r="AN202" s="45">
        <f t="shared" si="95"/>
        <v>1272.727272727273</v>
      </c>
      <c r="AO202" s="44">
        <f>VLOOKUP(D202,[1]apoio_Preços_MGS!$A$6:$AN$238,40,FALSE)</f>
        <v>551.01</v>
      </c>
      <c r="AP202" s="44">
        <f>IF(J202="demais municípios",VLOOKUP(D202,[1]apoio_Preços_MGS!$A$6:$AN$238,40,FALSE),0)</f>
        <v>551.01</v>
      </c>
      <c r="AQ202" s="44">
        <v>0</v>
      </c>
      <c r="AR202" s="45">
        <f t="shared" si="96"/>
        <v>3857.0699999999997</v>
      </c>
      <c r="AS202" s="45">
        <f t="shared" si="91"/>
        <v>5129.7972727272727</v>
      </c>
      <c r="AT202" s="45">
        <f t="shared" si="92"/>
        <v>307787.83636363636</v>
      </c>
      <c r="AU202" s="62"/>
      <c r="AV202" s="46"/>
      <c r="AW202" s="47"/>
      <c r="AX202" s="48"/>
      <c r="AY202" s="49"/>
      <c r="BA202" s="48"/>
    </row>
    <row r="203" spans="1:53" ht="19.5" customHeight="1" x14ac:dyDescent="0.25">
      <c r="A203" s="33" t="str">
        <f t="shared" si="87"/>
        <v>63657400,05</v>
      </c>
      <c r="B203" s="33" t="str">
        <f t="shared" si="88"/>
        <v>2380,05</v>
      </c>
      <c r="C203" s="34" t="str">
        <f>VLOOKUP(D203,[1]apoio_Preços_MGS!$A$6:$B$238,2,FALSE)</f>
        <v>AUXILIAR DE SERVIÇOS</v>
      </c>
      <c r="D203" s="35">
        <v>238</v>
      </c>
      <c r="E203" s="33" t="str">
        <f>VLOOKUP(D203,[1]apoio_Preços_MGS!$A$6:$F$238,6,FALSE)</f>
        <v>AUXILIAR DE SERVIÇOS - DIARISTA DIURNO - 40H</v>
      </c>
      <c r="F203" s="36">
        <f>IFERROR(VLOOKUP(D203,'[1]apoio_cód catmas'!$B$2:$C$863,2,FALSE),0)</f>
        <v>63657</v>
      </c>
      <c r="G203" s="33" t="str">
        <f>IF(H203="N/A",VLOOKUP(F203&amp;40,'[1]apoio_cód catmas'!$A$1:$G$233,4,FALSE),VLOOKUP(F203&amp;H203,'[1]apoio_cód catmas'!$A$1:$G$233,4,FALSE))</f>
        <v>AUXILIAR DE SERVICOS - 40H OU 44H</v>
      </c>
      <c r="H203" s="36">
        <v>40</v>
      </c>
      <c r="I203" s="37">
        <v>0.05</v>
      </c>
      <c r="J203" s="38" t="s">
        <v>46</v>
      </c>
      <c r="K203" s="39">
        <f>76-K204</f>
        <v>3</v>
      </c>
      <c r="L203" s="39">
        <f t="shared" si="77"/>
        <v>180</v>
      </c>
      <c r="M203" s="40">
        <f>VLOOKUP(D203,[1]apoio_Preços_MGS!$A$6:$AN$238,18,FALSE)</f>
        <v>1824.9635765500198</v>
      </c>
      <c r="N203" s="40">
        <f>VLOOKUP(D203,[1]apoio_Preços_MGS!$A$6:$AN$238,19,FALSE)</f>
        <v>0</v>
      </c>
      <c r="O203" s="40">
        <f>VLOOKUP(D203,[1]apoio_Preços_MGS!$A$6:$AN$238,20,FALSE)</f>
        <v>0</v>
      </c>
      <c r="P203" s="40">
        <f>VLOOKUP(D203,[1]apoio_Preços_MGS!$A$6:$AN$238,21,FALSE)</f>
        <v>0</v>
      </c>
      <c r="Q203" s="40">
        <f>VLOOKUP(D203,[1]apoio_Preços_MGS!$A$6:$AN$238,22,FALSE)</f>
        <v>0</v>
      </c>
      <c r="R203" s="40">
        <f>VLOOKUP(D203,[1]apoio_Preços_MGS!$A$6:$AN$238,23,FALSE)</f>
        <v>0</v>
      </c>
      <c r="S203" s="40">
        <f>VLOOKUP(D203,[1]apoio_Preços_MGS!$A$6:$AN$238,24,FALSE)</f>
        <v>0</v>
      </c>
      <c r="T203" s="40">
        <f>VLOOKUP(D203,[1]apoio_Preços_MGS!$A$6:$AN$238,25,FALSE)</f>
        <v>0</v>
      </c>
      <c r="U203" s="40">
        <f t="shared" si="75"/>
        <v>1824.9635765500198</v>
      </c>
      <c r="V203" s="41">
        <f>VLOOKUP(D203,[1]apoio_Preços_MGS!$A$6:$AN$238,27,FALSE)</f>
        <v>0.81799999999999995</v>
      </c>
      <c r="W203" s="40">
        <f t="shared" si="76"/>
        <v>1492.8202056179161</v>
      </c>
      <c r="X203" s="40">
        <f>VLOOKUP(D203,[1]apoio_Preços_MGS!$A$6:$AN$238,29,FALSE)</f>
        <v>39.115656565656565</v>
      </c>
      <c r="Y203" s="40">
        <f>VLOOKUP(D203,[1]apoio_Preços_MGS!$A$6:$AN$238,30,FALSE)</f>
        <v>36.846229871941169</v>
      </c>
      <c r="Z203" s="40">
        <f t="shared" si="78"/>
        <v>75.961886437597741</v>
      </c>
      <c r="AA203" s="40">
        <f>VLOOKUP(D203,[1]apoio_Preços_MGS!$A$6:$AN$238,32,FALSE)</f>
        <v>3.5039300669760376</v>
      </c>
      <c r="AB203" s="40">
        <f>VLOOKUP(D203,[1]apoio_Preços_MGS!$A$6:$AN$238,33,FALSE)</f>
        <v>261.28721323697209</v>
      </c>
      <c r="AC203" s="41">
        <f>VLOOKUP(D203,[1]apoio_Preços_MGS!$A$6:$AN$238,34,FALSE)</f>
        <v>0</v>
      </c>
      <c r="AD203" s="40">
        <f>(U203+W203+Z203+AB203+AA203+VLOOKUP(C203,[1]apoio_Prec_Folha!$A:$S,7,FALSE))*AC203</f>
        <v>0</v>
      </c>
      <c r="AE203" s="42">
        <f>VLOOKUP(D203,[1]apoio_Preços_MGS!$A$6:$AN$238,36,FALSE)</f>
        <v>7.0000000000000007E-2</v>
      </c>
      <c r="AF203" s="40">
        <f>(U203+W203+Z203+AB203+AD203+AA203+VLOOKUP(C203,[1]apoio_Prec_Folha!$A:$S,7,FALSE))*AE203</f>
        <v>294.66874252404045</v>
      </c>
      <c r="AG203" s="40">
        <f t="shared" si="79"/>
        <v>3953.2</v>
      </c>
      <c r="AH203" s="43">
        <f t="shared" si="80"/>
        <v>4610.1400000000003</v>
      </c>
      <c r="AI203" s="43">
        <f t="shared" si="81"/>
        <v>13830.420000000002</v>
      </c>
      <c r="AJ203" s="43">
        <f t="shared" si="82"/>
        <v>829825.20000000007</v>
      </c>
      <c r="AK203" s="44">
        <f>VLOOKUP(D203,[1]apoio_Preços_MGS!$A$6:$AN$238,39,FALSE)</f>
        <v>181.81818181818184</v>
      </c>
      <c r="AL203" s="44">
        <f>IF(J203="demais municípios",VLOOKUP(D203,[1]apoio_Preços_MGS!$A$6:$AN$238,39,FALSE),0)</f>
        <v>181.81818181818184</v>
      </c>
      <c r="AM203" s="44">
        <v>0</v>
      </c>
      <c r="AN203" s="45">
        <f t="shared" si="95"/>
        <v>545.4545454545455</v>
      </c>
      <c r="AO203" s="44">
        <f>VLOOKUP(D203,[1]apoio_Preços_MGS!$A$6:$AN$238,40,FALSE)</f>
        <v>551.01</v>
      </c>
      <c r="AP203" s="44">
        <f>IF(J203="demais municípios",VLOOKUP(D203,[1]apoio_Preços_MGS!$A$6:$AN$238,40,FALSE),0)</f>
        <v>551.01</v>
      </c>
      <c r="AQ203" s="44">
        <v>0</v>
      </c>
      <c r="AR203" s="45">
        <f t="shared" si="96"/>
        <v>1653.03</v>
      </c>
      <c r="AS203" s="45">
        <f t="shared" si="91"/>
        <v>2198.4845454545457</v>
      </c>
      <c r="AT203" s="45">
        <f t="shared" si="92"/>
        <v>131909.07272727275</v>
      </c>
      <c r="AU203" s="62"/>
      <c r="AV203" s="46"/>
      <c r="AW203" s="47"/>
      <c r="AX203" s="48"/>
      <c r="AY203" s="49"/>
      <c r="BA203" s="48"/>
    </row>
    <row r="204" spans="1:53" ht="19.5" customHeight="1" x14ac:dyDescent="0.25">
      <c r="A204" s="33" t="str">
        <f t="shared" si="87"/>
        <v>63657400,05</v>
      </c>
      <c r="B204" s="33" t="str">
        <f t="shared" si="88"/>
        <v>2380,05</v>
      </c>
      <c r="C204" s="34" t="str">
        <f>VLOOKUP(D204,[1]apoio_Preços_MGS!$A$6:$B$238,2,FALSE)</f>
        <v>AUXILIAR DE SERVIÇOS</v>
      </c>
      <c r="D204" s="35">
        <v>238</v>
      </c>
      <c r="E204" s="33" t="str">
        <f>VLOOKUP(D204,[1]apoio_Preços_MGS!$A$6:$F$238,6,FALSE)</f>
        <v>AUXILIAR DE SERVIÇOS - DIARISTA DIURNO - 40H</v>
      </c>
      <c r="F204" s="36">
        <f>IFERROR(VLOOKUP(D204,'[1]apoio_cód catmas'!$B$2:$C$863,2,FALSE),0)</f>
        <v>63657</v>
      </c>
      <c r="G204" s="33" t="str">
        <f>IF(H204="N/A",VLOOKUP(F204&amp;40,'[1]apoio_cód catmas'!$A$1:$G$233,4,FALSE),VLOOKUP(F204&amp;H204,'[1]apoio_cód catmas'!$A$1:$G$233,4,FALSE))</f>
        <v>AUXILIAR DE SERVICOS - 40H OU 44H</v>
      </c>
      <c r="H204" s="36">
        <v>40</v>
      </c>
      <c r="I204" s="37">
        <v>0.05</v>
      </c>
      <c r="J204" s="38" t="s">
        <v>47</v>
      </c>
      <c r="K204" s="39">
        <v>73</v>
      </c>
      <c r="L204" s="39">
        <f t="shared" si="77"/>
        <v>4380</v>
      </c>
      <c r="M204" s="40">
        <f>VLOOKUP(D204,[1]apoio_Preços_MGS!$A$6:$AN$238,18,FALSE)</f>
        <v>1824.9635765500198</v>
      </c>
      <c r="N204" s="40">
        <f>VLOOKUP(D204,[1]apoio_Preços_MGS!$A$6:$AN$238,19,FALSE)</f>
        <v>0</v>
      </c>
      <c r="O204" s="40">
        <f>VLOOKUP(D204,[1]apoio_Preços_MGS!$A$6:$AN$238,20,FALSE)</f>
        <v>0</v>
      </c>
      <c r="P204" s="40">
        <f>VLOOKUP(D204,[1]apoio_Preços_MGS!$A$6:$AN$238,21,FALSE)</f>
        <v>0</v>
      </c>
      <c r="Q204" s="40">
        <f>VLOOKUP(D204,[1]apoio_Preços_MGS!$A$6:$AN$238,22,FALSE)</f>
        <v>0</v>
      </c>
      <c r="R204" s="40">
        <f>VLOOKUP(D204,[1]apoio_Preços_MGS!$A$6:$AN$238,23,FALSE)</f>
        <v>0</v>
      </c>
      <c r="S204" s="40">
        <f>VLOOKUP(D204,[1]apoio_Preços_MGS!$A$6:$AN$238,24,FALSE)</f>
        <v>0</v>
      </c>
      <c r="T204" s="40">
        <f>VLOOKUP(D204,[1]apoio_Preços_MGS!$A$6:$AN$238,25,FALSE)</f>
        <v>0</v>
      </c>
      <c r="U204" s="40">
        <f t="shared" si="75"/>
        <v>1824.9635765500198</v>
      </c>
      <c r="V204" s="41">
        <f>VLOOKUP(D204,[1]apoio_Preços_MGS!$A$6:$AN$238,27,FALSE)</f>
        <v>0.81799999999999995</v>
      </c>
      <c r="W204" s="40">
        <f t="shared" si="76"/>
        <v>1492.8202056179161</v>
      </c>
      <c r="X204" s="40">
        <f>VLOOKUP(D204,[1]apoio_Preços_MGS!$A$6:$AN$238,29,FALSE)</f>
        <v>39.115656565656565</v>
      </c>
      <c r="Y204" s="40">
        <f>VLOOKUP(D204,[1]apoio_Preços_MGS!$A$6:$AN$238,30,FALSE)</f>
        <v>36.846229871941169</v>
      </c>
      <c r="Z204" s="40">
        <f t="shared" si="78"/>
        <v>75.961886437597741</v>
      </c>
      <c r="AA204" s="40">
        <f>VLOOKUP(D204,[1]apoio_Preços_MGS!$A$6:$AN$238,32,FALSE)</f>
        <v>3.5039300669760376</v>
      </c>
      <c r="AB204" s="40">
        <f>VLOOKUP(D204,[1]apoio_Preços_MGS!$A$6:$AN$238,33,FALSE)</f>
        <v>261.28721323697209</v>
      </c>
      <c r="AC204" s="41">
        <f>VLOOKUP(D204,[1]apoio_Preços_MGS!$A$6:$AN$238,34,FALSE)</f>
        <v>0</v>
      </c>
      <c r="AD204" s="40">
        <f>(U204+W204+Z204+AB204+AA204+VLOOKUP(C204,[1]apoio_Prec_Folha!$A:$S,7,FALSE))*AC204</f>
        <v>0</v>
      </c>
      <c r="AE204" s="42">
        <f>VLOOKUP(D204,[1]apoio_Preços_MGS!$A$6:$AN$238,36,FALSE)</f>
        <v>7.0000000000000007E-2</v>
      </c>
      <c r="AF204" s="40">
        <f>(U204+W204+Z204+AB204+AD204+AA204+VLOOKUP(C204,[1]apoio_Prec_Folha!$A:$S,7,FALSE))*AE204</f>
        <v>294.66874252404045</v>
      </c>
      <c r="AG204" s="40">
        <f t="shared" si="79"/>
        <v>3953.2</v>
      </c>
      <c r="AH204" s="43">
        <f t="shared" si="80"/>
        <v>4610.1400000000003</v>
      </c>
      <c r="AI204" s="43">
        <f t="shared" si="81"/>
        <v>336540.22000000003</v>
      </c>
      <c r="AJ204" s="43">
        <f t="shared" si="82"/>
        <v>20192413.200000003</v>
      </c>
      <c r="AK204" s="44">
        <f>VLOOKUP(D204,[1]apoio_Preços_MGS!$A$6:$AN$238,39,FALSE)</f>
        <v>181.81818181818184</v>
      </c>
      <c r="AL204" s="44">
        <f>IF(J204="demais municípios",VLOOKUP(D204,[1]apoio_Preços_MGS!$A$6:$AN$238,39,FALSE),0)</f>
        <v>0</v>
      </c>
      <c r="AM204" s="44">
        <f>TRUNC(ROUND(($I204)/(1-($I204)),5)*VLOOKUP(D204,[1]apoio_Preços_MGS!$A$6:$AN$238,39,FALSE)+VLOOKUP(D204,[1]apoio_Preços_MGS!$A$6:$AN$238,39,FALSE),2)</f>
        <v>191.38</v>
      </c>
      <c r="AN204" s="45">
        <f t="shared" si="93"/>
        <v>13970.74</v>
      </c>
      <c r="AO204" s="44">
        <f>VLOOKUP(D204,[1]apoio_Preços_MGS!$A$6:$AN$238,40,FALSE)</f>
        <v>551.01</v>
      </c>
      <c r="AP204" s="44">
        <f>IF(J204="demais municípios",VLOOKUP(D204,[1]apoio_Preços_MGS!$A$6:$AN$238,40,FALSE),0)</f>
        <v>0</v>
      </c>
      <c r="AQ204" s="44">
        <f>TRUNC(ROUND(($I204)/(1-($I204)),5)*VLOOKUP(D204,[1]apoio_Preços_MGS!$A$6:$AN$238,40,FALSE)+VLOOKUP(D204,[1]apoio_Preços_MGS!$A$6:$AN$238,40,FALSE),2)</f>
        <v>580</v>
      </c>
      <c r="AR204" s="45">
        <f t="shared" si="94"/>
        <v>42340</v>
      </c>
      <c r="AS204" s="45">
        <f t="shared" si="91"/>
        <v>56310.74</v>
      </c>
      <c r="AT204" s="45">
        <f t="shared" si="92"/>
        <v>3378644.4</v>
      </c>
      <c r="AU204" s="62"/>
      <c r="AV204" s="46"/>
      <c r="AW204" s="47"/>
      <c r="AX204" s="48"/>
      <c r="AY204" s="49"/>
      <c r="BA204" s="48"/>
    </row>
    <row r="205" spans="1:53" ht="19.5" customHeight="1" x14ac:dyDescent="0.25">
      <c r="A205" s="33" t="str">
        <f t="shared" si="87"/>
        <v>63657440,02</v>
      </c>
      <c r="B205" s="33" t="str">
        <f t="shared" si="88"/>
        <v>2370,02</v>
      </c>
      <c r="C205" s="34" t="str">
        <f>VLOOKUP(D205,[1]apoio_Preços_MGS!$A$6:$B$238,2,FALSE)</f>
        <v>AUXILIAR DE SERVIÇOS</v>
      </c>
      <c r="D205" s="35">
        <v>237</v>
      </c>
      <c r="E205" s="33" t="str">
        <f>VLOOKUP(D205,[1]apoio_Preços_MGS!$A$6:$F$238,6,FALSE)</f>
        <v>AUXILIAR DE SERVIÇOS - DIARISTA DIURNO - 44H</v>
      </c>
      <c r="F205" s="36">
        <f>IFERROR(VLOOKUP(D205,'[1]apoio_cód catmas'!$B$2:$C$863,2,FALSE),0)</f>
        <v>63657</v>
      </c>
      <c r="G205" s="33" t="str">
        <f>IF(H205="N/A",VLOOKUP(F205&amp;40,'[1]apoio_cód catmas'!$A$1:$G$233,4,FALSE),VLOOKUP(F205&amp;H205,'[1]apoio_cód catmas'!$A$1:$G$233,4,FALSE))</f>
        <v>AUXILIAR DE SERVICOS - 40H OU 44H</v>
      </c>
      <c r="H205" s="36">
        <v>44</v>
      </c>
      <c r="I205" s="37">
        <v>0.02</v>
      </c>
      <c r="J205" s="38" t="s">
        <v>46</v>
      </c>
      <c r="K205" s="39">
        <v>12</v>
      </c>
      <c r="L205" s="39">
        <f t="shared" si="77"/>
        <v>720</v>
      </c>
      <c r="M205" s="40">
        <f>VLOOKUP(D205,[1]apoio_Preços_MGS!$A$6:$AN$238,18,FALSE)</f>
        <v>2007.4599342050217</v>
      </c>
      <c r="N205" s="40">
        <f>VLOOKUP(D205,[1]apoio_Preços_MGS!$A$6:$AN$238,19,FALSE)</f>
        <v>0</v>
      </c>
      <c r="O205" s="40">
        <f>VLOOKUP(D205,[1]apoio_Preços_MGS!$A$6:$AN$238,20,FALSE)</f>
        <v>0</v>
      </c>
      <c r="P205" s="40">
        <f>VLOOKUP(D205,[1]apoio_Preços_MGS!$A$6:$AN$238,21,FALSE)</f>
        <v>0</v>
      </c>
      <c r="Q205" s="40">
        <f>VLOOKUP(D205,[1]apoio_Preços_MGS!$A$6:$AN$238,22,FALSE)</f>
        <v>0</v>
      </c>
      <c r="R205" s="40">
        <f>VLOOKUP(D205,[1]apoio_Preços_MGS!$A$6:$AN$238,23,FALSE)</f>
        <v>0</v>
      </c>
      <c r="S205" s="40">
        <f>VLOOKUP(D205,[1]apoio_Preços_MGS!$A$6:$AN$238,24,FALSE)</f>
        <v>0</v>
      </c>
      <c r="T205" s="40">
        <f>VLOOKUP(D205,[1]apoio_Preços_MGS!$A$6:$AN$238,25,FALSE)</f>
        <v>0</v>
      </c>
      <c r="U205" s="40">
        <f t="shared" si="75"/>
        <v>2007.4599342050217</v>
      </c>
      <c r="V205" s="41">
        <f>VLOOKUP(D205,[1]apoio_Preços_MGS!$A$6:$AN$238,27,FALSE)</f>
        <v>0.81799999999999995</v>
      </c>
      <c r="W205" s="40">
        <f t="shared" si="76"/>
        <v>1642.1022261797077</v>
      </c>
      <c r="X205" s="40">
        <f>VLOOKUP(D205,[1]apoio_Preços_MGS!$A$6:$AN$238,29,FALSE)</f>
        <v>39.115656565656565</v>
      </c>
      <c r="Y205" s="40">
        <f>VLOOKUP(D205,[1]apoio_Preços_MGS!$A$6:$AN$238,30,FALSE)</f>
        <v>36.846229871941169</v>
      </c>
      <c r="Z205" s="40">
        <f t="shared" si="78"/>
        <v>75.961886437597741</v>
      </c>
      <c r="AA205" s="40">
        <f>VLOOKUP(D205,[1]apoio_Preços_MGS!$A$6:$AN$238,32,FALSE)</f>
        <v>3.8543230736736414</v>
      </c>
      <c r="AB205" s="40">
        <f>VLOOKUP(D205,[1]apoio_Preços_MGS!$A$6:$AN$238,33,FALSE)</f>
        <v>252.91982259414209</v>
      </c>
      <c r="AC205" s="41">
        <f>VLOOKUP(D205,[1]apoio_Preços_MGS!$A$6:$AN$238,34,FALSE)</f>
        <v>0</v>
      </c>
      <c r="AD205" s="40">
        <f>(U205+W205+Z205+AB205+AA205+VLOOKUP(C205,[1]apoio_Prec_Folha!$A:$S,7,FALSE))*AC205</f>
        <v>0</v>
      </c>
      <c r="AE205" s="42">
        <f>VLOOKUP(D205,[1]apoio_Preços_MGS!$A$6:$AN$238,36,FALSE)</f>
        <v>7.0000000000000007E-2</v>
      </c>
      <c r="AF205" s="40">
        <f>(U205+W205+Z205+AB205+AD205+AA205+VLOOKUP(C205,[1]apoio_Prec_Folha!$A:$S,7,FALSE))*AE205</f>
        <v>317.33203916468676</v>
      </c>
      <c r="AG205" s="40">
        <f t="shared" si="79"/>
        <v>4299.63</v>
      </c>
      <c r="AH205" s="43">
        <f t="shared" si="80"/>
        <v>4844.6499999999996</v>
      </c>
      <c r="AI205" s="43">
        <f t="shared" si="81"/>
        <v>58135.799999999996</v>
      </c>
      <c r="AJ205" s="43">
        <f t="shared" si="82"/>
        <v>3488147.9999999995</v>
      </c>
      <c r="AK205" s="44">
        <f>VLOOKUP(D205,[1]apoio_Preços_MGS!$A$6:$AN$238,39,FALSE)</f>
        <v>200.00000000000003</v>
      </c>
      <c r="AL205" s="44">
        <f>IF(J205="demais municípios",VLOOKUP(D205,[1]apoio_Preços_MGS!$A$6:$AN$238,39,FALSE),0)</f>
        <v>200.00000000000003</v>
      </c>
      <c r="AM205" s="44">
        <v>0</v>
      </c>
      <c r="AN205" s="45">
        <f t="shared" ref="AN205:AN209" si="97">AK205*K205</f>
        <v>2400.0000000000005</v>
      </c>
      <c r="AO205" s="44">
        <f>VLOOKUP(D205,[1]apoio_Preços_MGS!$A$6:$AN$238,40,FALSE)</f>
        <v>551.01</v>
      </c>
      <c r="AP205" s="44">
        <f>IF(J205="demais municípios",VLOOKUP(D205,[1]apoio_Preços_MGS!$A$6:$AN$238,40,FALSE),0)</f>
        <v>551.01</v>
      </c>
      <c r="AQ205" s="44">
        <v>0</v>
      </c>
      <c r="AR205" s="45">
        <f t="shared" ref="AR205:AR209" si="98">AO205*K205</f>
        <v>6612.12</v>
      </c>
      <c r="AS205" s="45">
        <f t="shared" si="91"/>
        <v>9012.1200000000008</v>
      </c>
      <c r="AT205" s="45">
        <f t="shared" si="92"/>
        <v>540727.20000000007</v>
      </c>
      <c r="AU205" s="62"/>
      <c r="AV205" s="46"/>
      <c r="AW205" s="47"/>
      <c r="AX205" s="48"/>
      <c r="AY205" s="49"/>
      <c r="BA205" s="48"/>
    </row>
    <row r="206" spans="1:53" ht="19.5" customHeight="1" x14ac:dyDescent="0.25">
      <c r="A206" s="33" t="str">
        <f t="shared" si="87"/>
        <v>63657440,03</v>
      </c>
      <c r="B206" s="33" t="str">
        <f t="shared" si="88"/>
        <v>2370,03</v>
      </c>
      <c r="C206" s="34" t="str">
        <f>VLOOKUP(D206,[1]apoio_Preços_MGS!$A$6:$B$238,2,FALSE)</f>
        <v>AUXILIAR DE SERVIÇOS</v>
      </c>
      <c r="D206" s="35">
        <v>237</v>
      </c>
      <c r="E206" s="33" t="str">
        <f>VLOOKUP(D206,[1]apoio_Preços_MGS!$A$6:$F$238,6,FALSE)</f>
        <v>AUXILIAR DE SERVIÇOS - DIARISTA DIURNO - 44H</v>
      </c>
      <c r="F206" s="36">
        <f>IFERROR(VLOOKUP(D206,'[1]apoio_cód catmas'!$B$2:$C$863,2,FALSE),0)</f>
        <v>63657</v>
      </c>
      <c r="G206" s="33" t="str">
        <f>IF(H206="N/A",VLOOKUP(F206&amp;40,'[1]apoio_cód catmas'!$A$1:$G$233,4,FALSE),VLOOKUP(F206&amp;H206,'[1]apoio_cód catmas'!$A$1:$G$233,4,FALSE))</f>
        <v>AUXILIAR DE SERVICOS - 40H OU 44H</v>
      </c>
      <c r="H206" s="36">
        <v>44</v>
      </c>
      <c r="I206" s="37">
        <v>0.03</v>
      </c>
      <c r="J206" s="38" t="s">
        <v>46</v>
      </c>
      <c r="K206" s="39">
        <v>24</v>
      </c>
      <c r="L206" s="39">
        <f t="shared" si="77"/>
        <v>1440</v>
      </c>
      <c r="M206" s="40">
        <f>VLOOKUP(D206,[1]apoio_Preços_MGS!$A$6:$AN$238,18,FALSE)</f>
        <v>2007.4599342050217</v>
      </c>
      <c r="N206" s="40">
        <f>VLOOKUP(D206,[1]apoio_Preços_MGS!$A$6:$AN$238,19,FALSE)</f>
        <v>0</v>
      </c>
      <c r="O206" s="40">
        <f>VLOOKUP(D206,[1]apoio_Preços_MGS!$A$6:$AN$238,20,FALSE)</f>
        <v>0</v>
      </c>
      <c r="P206" s="40">
        <f>VLOOKUP(D206,[1]apoio_Preços_MGS!$A$6:$AN$238,21,FALSE)</f>
        <v>0</v>
      </c>
      <c r="Q206" s="40">
        <f>VLOOKUP(D206,[1]apoio_Preços_MGS!$A$6:$AN$238,22,FALSE)</f>
        <v>0</v>
      </c>
      <c r="R206" s="40">
        <f>VLOOKUP(D206,[1]apoio_Preços_MGS!$A$6:$AN$238,23,FALSE)</f>
        <v>0</v>
      </c>
      <c r="S206" s="40">
        <f>VLOOKUP(D206,[1]apoio_Preços_MGS!$A$6:$AN$238,24,FALSE)</f>
        <v>0</v>
      </c>
      <c r="T206" s="40">
        <f>VLOOKUP(D206,[1]apoio_Preços_MGS!$A$6:$AN$238,25,FALSE)</f>
        <v>0</v>
      </c>
      <c r="U206" s="40">
        <f t="shared" si="75"/>
        <v>2007.4599342050217</v>
      </c>
      <c r="V206" s="41">
        <f>VLOOKUP(D206,[1]apoio_Preços_MGS!$A$6:$AN$238,27,FALSE)</f>
        <v>0.81799999999999995</v>
      </c>
      <c r="W206" s="40">
        <f t="shared" si="76"/>
        <v>1642.1022261797077</v>
      </c>
      <c r="X206" s="40">
        <f>VLOOKUP(D206,[1]apoio_Preços_MGS!$A$6:$AN$238,29,FALSE)</f>
        <v>39.115656565656565</v>
      </c>
      <c r="Y206" s="40">
        <f>VLOOKUP(D206,[1]apoio_Preços_MGS!$A$6:$AN$238,30,FALSE)</f>
        <v>36.846229871941169</v>
      </c>
      <c r="Z206" s="40">
        <f t="shared" si="78"/>
        <v>75.961886437597741</v>
      </c>
      <c r="AA206" s="40">
        <f>VLOOKUP(D206,[1]apoio_Preços_MGS!$A$6:$AN$238,32,FALSE)</f>
        <v>3.8543230736736414</v>
      </c>
      <c r="AB206" s="40">
        <f>VLOOKUP(D206,[1]apoio_Preços_MGS!$A$6:$AN$238,33,FALSE)</f>
        <v>252.91982259414209</v>
      </c>
      <c r="AC206" s="41">
        <f>VLOOKUP(D206,[1]apoio_Preços_MGS!$A$6:$AN$238,34,FALSE)</f>
        <v>0</v>
      </c>
      <c r="AD206" s="40">
        <f>(U206+W206+Z206+AB206+AA206+VLOOKUP(C206,[1]apoio_Prec_Folha!$A:$S,7,FALSE))*AC206</f>
        <v>0</v>
      </c>
      <c r="AE206" s="42">
        <f>VLOOKUP(D206,[1]apoio_Preços_MGS!$A$6:$AN$238,36,FALSE)</f>
        <v>7.0000000000000007E-2</v>
      </c>
      <c r="AF206" s="40">
        <f>(U206+W206+Z206+AB206+AD206+AA206+VLOOKUP(C206,[1]apoio_Prec_Folha!$A:$S,7,FALSE))*AE206</f>
        <v>317.33203916468676</v>
      </c>
      <c r="AG206" s="40">
        <f t="shared" si="79"/>
        <v>4299.63</v>
      </c>
      <c r="AH206" s="43">
        <f t="shared" si="80"/>
        <v>4899.8500000000004</v>
      </c>
      <c r="AI206" s="43">
        <f t="shared" si="81"/>
        <v>117596.40000000001</v>
      </c>
      <c r="AJ206" s="43">
        <f t="shared" si="82"/>
        <v>7055784.0000000009</v>
      </c>
      <c r="AK206" s="44">
        <f>VLOOKUP(D206,[1]apoio_Preços_MGS!$A$6:$AN$238,39,FALSE)</f>
        <v>200.00000000000003</v>
      </c>
      <c r="AL206" s="44">
        <f>IF(J206="demais municípios",VLOOKUP(D206,[1]apoio_Preços_MGS!$A$6:$AN$238,39,FALSE),0)</f>
        <v>200.00000000000003</v>
      </c>
      <c r="AM206" s="44">
        <v>0</v>
      </c>
      <c r="AN206" s="45">
        <f t="shared" si="97"/>
        <v>4800.0000000000009</v>
      </c>
      <c r="AO206" s="44">
        <f>VLOOKUP(D206,[1]apoio_Preços_MGS!$A$6:$AN$238,40,FALSE)</f>
        <v>551.01</v>
      </c>
      <c r="AP206" s="44">
        <f>IF(J206="demais municípios",VLOOKUP(D206,[1]apoio_Preços_MGS!$A$6:$AN$238,40,FALSE),0)</f>
        <v>551.01</v>
      </c>
      <c r="AQ206" s="44">
        <v>0</v>
      </c>
      <c r="AR206" s="45">
        <f t="shared" si="98"/>
        <v>13224.24</v>
      </c>
      <c r="AS206" s="45">
        <f t="shared" si="91"/>
        <v>18024.240000000002</v>
      </c>
      <c r="AT206" s="45">
        <f t="shared" si="92"/>
        <v>1081454.4000000001</v>
      </c>
      <c r="AU206" s="62"/>
      <c r="AV206" s="46"/>
      <c r="AW206" s="47"/>
      <c r="AX206" s="48"/>
      <c r="AY206" s="49"/>
      <c r="BA206" s="48"/>
    </row>
    <row r="207" spans="1:53" ht="19.5" customHeight="1" x14ac:dyDescent="0.25">
      <c r="A207" s="33" t="str">
        <f t="shared" si="87"/>
        <v>63657440,035</v>
      </c>
      <c r="B207" s="33" t="str">
        <f t="shared" si="88"/>
        <v>2370,035</v>
      </c>
      <c r="C207" s="34" t="str">
        <f>VLOOKUP(D207,[1]apoio_Preços_MGS!$A$6:$B$238,2,FALSE)</f>
        <v>AUXILIAR DE SERVIÇOS</v>
      </c>
      <c r="D207" s="35">
        <v>237</v>
      </c>
      <c r="E207" s="33" t="str">
        <f>VLOOKUP(D207,[1]apoio_Preços_MGS!$A$6:$F$238,6,FALSE)</f>
        <v>AUXILIAR DE SERVIÇOS - DIARISTA DIURNO - 44H</v>
      </c>
      <c r="F207" s="36">
        <f>IFERROR(VLOOKUP(D207,'[1]apoio_cód catmas'!$B$2:$C$863,2,FALSE),0)</f>
        <v>63657</v>
      </c>
      <c r="G207" s="33" t="str">
        <f>IF(H207="N/A",VLOOKUP(F207&amp;40,'[1]apoio_cód catmas'!$A$1:$G$233,4,FALSE),VLOOKUP(F207&amp;H207,'[1]apoio_cód catmas'!$A$1:$G$233,4,FALSE))</f>
        <v>AUXILIAR DE SERVICOS - 40H OU 44H</v>
      </c>
      <c r="H207" s="36">
        <v>44</v>
      </c>
      <c r="I207" s="37">
        <v>3.5000000000000003E-2</v>
      </c>
      <c r="J207" s="38" t="s">
        <v>46</v>
      </c>
      <c r="K207" s="39">
        <v>11</v>
      </c>
      <c r="L207" s="39">
        <f t="shared" si="77"/>
        <v>660</v>
      </c>
      <c r="M207" s="40">
        <f>VLOOKUP(D207,[1]apoio_Preços_MGS!$A$6:$AN$238,18,FALSE)</f>
        <v>2007.4599342050217</v>
      </c>
      <c r="N207" s="40">
        <f>VLOOKUP(D207,[1]apoio_Preços_MGS!$A$6:$AN$238,19,FALSE)</f>
        <v>0</v>
      </c>
      <c r="O207" s="40">
        <f>VLOOKUP(D207,[1]apoio_Preços_MGS!$A$6:$AN$238,20,FALSE)</f>
        <v>0</v>
      </c>
      <c r="P207" s="40">
        <f>VLOOKUP(D207,[1]apoio_Preços_MGS!$A$6:$AN$238,21,FALSE)</f>
        <v>0</v>
      </c>
      <c r="Q207" s="40">
        <f>VLOOKUP(D207,[1]apoio_Preços_MGS!$A$6:$AN$238,22,FALSE)</f>
        <v>0</v>
      </c>
      <c r="R207" s="40">
        <f>VLOOKUP(D207,[1]apoio_Preços_MGS!$A$6:$AN$238,23,FALSE)</f>
        <v>0</v>
      </c>
      <c r="S207" s="40">
        <f>VLOOKUP(D207,[1]apoio_Preços_MGS!$A$6:$AN$238,24,FALSE)</f>
        <v>0</v>
      </c>
      <c r="T207" s="40">
        <f>VLOOKUP(D207,[1]apoio_Preços_MGS!$A$6:$AN$238,25,FALSE)</f>
        <v>0</v>
      </c>
      <c r="U207" s="40">
        <f t="shared" si="75"/>
        <v>2007.4599342050217</v>
      </c>
      <c r="V207" s="41">
        <f>VLOOKUP(D207,[1]apoio_Preços_MGS!$A$6:$AN$238,27,FALSE)</f>
        <v>0.81799999999999995</v>
      </c>
      <c r="W207" s="40">
        <f t="shared" si="76"/>
        <v>1642.1022261797077</v>
      </c>
      <c r="X207" s="40">
        <f>VLOOKUP(D207,[1]apoio_Preços_MGS!$A$6:$AN$238,29,FALSE)</f>
        <v>39.115656565656565</v>
      </c>
      <c r="Y207" s="40">
        <f>VLOOKUP(D207,[1]apoio_Preços_MGS!$A$6:$AN$238,30,FALSE)</f>
        <v>36.846229871941169</v>
      </c>
      <c r="Z207" s="40">
        <f t="shared" si="78"/>
        <v>75.961886437597741</v>
      </c>
      <c r="AA207" s="40">
        <f>VLOOKUP(D207,[1]apoio_Preços_MGS!$A$6:$AN$238,32,FALSE)</f>
        <v>3.8543230736736414</v>
      </c>
      <c r="AB207" s="40">
        <f>VLOOKUP(D207,[1]apoio_Preços_MGS!$A$6:$AN$238,33,FALSE)</f>
        <v>252.91982259414209</v>
      </c>
      <c r="AC207" s="41">
        <f>VLOOKUP(D207,[1]apoio_Preços_MGS!$A$6:$AN$238,34,FALSE)</f>
        <v>0</v>
      </c>
      <c r="AD207" s="40">
        <f>(U207+W207+Z207+AB207+AA207+VLOOKUP(C207,[1]apoio_Prec_Folha!$A:$S,7,FALSE))*AC207</f>
        <v>0</v>
      </c>
      <c r="AE207" s="42">
        <f>VLOOKUP(D207,[1]apoio_Preços_MGS!$A$6:$AN$238,36,FALSE)</f>
        <v>7.0000000000000007E-2</v>
      </c>
      <c r="AF207" s="40">
        <f>(U207+W207+Z207+AB207+AD207+AA207+VLOOKUP(C207,[1]apoio_Prec_Folha!$A:$S,7,FALSE))*AE207</f>
        <v>317.33203916468676</v>
      </c>
      <c r="AG207" s="40">
        <f t="shared" si="79"/>
        <v>4299.63</v>
      </c>
      <c r="AH207" s="43">
        <f t="shared" si="80"/>
        <v>4927.93</v>
      </c>
      <c r="AI207" s="43">
        <f t="shared" si="81"/>
        <v>54207.23</v>
      </c>
      <c r="AJ207" s="43">
        <f t="shared" si="82"/>
        <v>3252433.8000000003</v>
      </c>
      <c r="AK207" s="44">
        <f>VLOOKUP(D207,[1]apoio_Preços_MGS!$A$6:$AN$238,39,FALSE)</f>
        <v>200.00000000000003</v>
      </c>
      <c r="AL207" s="44">
        <f>IF(J207="demais municípios",VLOOKUP(D207,[1]apoio_Preços_MGS!$A$6:$AN$238,39,FALSE),0)</f>
        <v>200.00000000000003</v>
      </c>
      <c r="AM207" s="44">
        <v>0</v>
      </c>
      <c r="AN207" s="45">
        <f t="shared" si="97"/>
        <v>2200.0000000000005</v>
      </c>
      <c r="AO207" s="44">
        <f>VLOOKUP(D207,[1]apoio_Preços_MGS!$A$6:$AN$238,40,FALSE)</f>
        <v>551.01</v>
      </c>
      <c r="AP207" s="44">
        <f>IF(J207="demais municípios",VLOOKUP(D207,[1]apoio_Preços_MGS!$A$6:$AN$238,40,FALSE),0)</f>
        <v>551.01</v>
      </c>
      <c r="AQ207" s="44">
        <v>0</v>
      </c>
      <c r="AR207" s="45">
        <f t="shared" si="98"/>
        <v>6061.11</v>
      </c>
      <c r="AS207" s="45">
        <f t="shared" si="91"/>
        <v>8261.11</v>
      </c>
      <c r="AT207" s="45">
        <f t="shared" si="92"/>
        <v>495666.60000000003</v>
      </c>
      <c r="AU207" s="62"/>
      <c r="AV207" s="46"/>
      <c r="AW207" s="47"/>
      <c r="AX207" s="48"/>
      <c r="AY207" s="49"/>
      <c r="BA207" s="48"/>
    </row>
    <row r="208" spans="1:53" ht="19.5" customHeight="1" x14ac:dyDescent="0.25">
      <c r="A208" s="33" t="str">
        <f t="shared" si="87"/>
        <v>63657440,038</v>
      </c>
      <c r="B208" s="33" t="str">
        <f t="shared" si="88"/>
        <v>2370,038</v>
      </c>
      <c r="C208" s="34" t="str">
        <f>VLOOKUP(D208,[1]apoio_Preços_MGS!$A$6:$B$238,2,FALSE)</f>
        <v>AUXILIAR DE SERVIÇOS</v>
      </c>
      <c r="D208" s="35">
        <v>237</v>
      </c>
      <c r="E208" s="33" t="str">
        <f>VLOOKUP(D208,[1]apoio_Preços_MGS!$A$6:$F$238,6,FALSE)</f>
        <v>AUXILIAR DE SERVIÇOS - DIARISTA DIURNO - 44H</v>
      </c>
      <c r="F208" s="36">
        <f>IFERROR(VLOOKUP(D208,'[1]apoio_cód catmas'!$B$2:$C$863,2,FALSE),0)</f>
        <v>63657</v>
      </c>
      <c r="G208" s="33" t="str">
        <f>IF(H208="N/A",VLOOKUP(F208&amp;40,'[1]apoio_cód catmas'!$A$1:$G$233,4,FALSE),VLOOKUP(F208&amp;H208,'[1]apoio_cód catmas'!$A$1:$G$233,4,FALSE))</f>
        <v>AUXILIAR DE SERVICOS - 40H OU 44H</v>
      </c>
      <c r="H208" s="36">
        <v>44</v>
      </c>
      <c r="I208" s="37">
        <v>3.7999999999999999E-2</v>
      </c>
      <c r="J208" s="38" t="s">
        <v>46</v>
      </c>
      <c r="K208" s="39">
        <v>2</v>
      </c>
      <c r="L208" s="39">
        <f t="shared" si="77"/>
        <v>120</v>
      </c>
      <c r="M208" s="40">
        <f>VLOOKUP(D208,[1]apoio_Preços_MGS!$A$6:$AN$238,18,FALSE)</f>
        <v>2007.4599342050217</v>
      </c>
      <c r="N208" s="40">
        <f>VLOOKUP(D208,[1]apoio_Preços_MGS!$A$6:$AN$238,19,FALSE)</f>
        <v>0</v>
      </c>
      <c r="O208" s="40">
        <f>VLOOKUP(D208,[1]apoio_Preços_MGS!$A$6:$AN$238,20,FALSE)</f>
        <v>0</v>
      </c>
      <c r="P208" s="40">
        <f>VLOOKUP(D208,[1]apoio_Preços_MGS!$A$6:$AN$238,21,FALSE)</f>
        <v>0</v>
      </c>
      <c r="Q208" s="40">
        <f>VLOOKUP(D208,[1]apoio_Preços_MGS!$A$6:$AN$238,22,FALSE)</f>
        <v>0</v>
      </c>
      <c r="R208" s="40">
        <f>VLOOKUP(D208,[1]apoio_Preços_MGS!$A$6:$AN$238,23,FALSE)</f>
        <v>0</v>
      </c>
      <c r="S208" s="40">
        <f>VLOOKUP(D208,[1]apoio_Preços_MGS!$A$6:$AN$238,24,FALSE)</f>
        <v>0</v>
      </c>
      <c r="T208" s="40">
        <f>VLOOKUP(D208,[1]apoio_Preços_MGS!$A$6:$AN$238,25,FALSE)</f>
        <v>0</v>
      </c>
      <c r="U208" s="40">
        <f t="shared" si="75"/>
        <v>2007.4599342050217</v>
      </c>
      <c r="V208" s="41">
        <f>VLOOKUP(D208,[1]apoio_Preços_MGS!$A$6:$AN$238,27,FALSE)</f>
        <v>0.81799999999999995</v>
      </c>
      <c r="W208" s="40">
        <f t="shared" si="76"/>
        <v>1642.1022261797077</v>
      </c>
      <c r="X208" s="40">
        <f>VLOOKUP(D208,[1]apoio_Preços_MGS!$A$6:$AN$238,29,FALSE)</f>
        <v>39.115656565656565</v>
      </c>
      <c r="Y208" s="40">
        <f>VLOOKUP(D208,[1]apoio_Preços_MGS!$A$6:$AN$238,30,FALSE)</f>
        <v>36.846229871941169</v>
      </c>
      <c r="Z208" s="40">
        <f t="shared" si="78"/>
        <v>75.961886437597741</v>
      </c>
      <c r="AA208" s="40">
        <f>VLOOKUP(D208,[1]apoio_Preços_MGS!$A$6:$AN$238,32,FALSE)</f>
        <v>3.8543230736736414</v>
      </c>
      <c r="AB208" s="40">
        <f>VLOOKUP(D208,[1]apoio_Preços_MGS!$A$6:$AN$238,33,FALSE)</f>
        <v>252.91982259414209</v>
      </c>
      <c r="AC208" s="41">
        <f>VLOOKUP(D208,[1]apoio_Preços_MGS!$A$6:$AN$238,34,FALSE)</f>
        <v>0</v>
      </c>
      <c r="AD208" s="40">
        <f>(U208+W208+Z208+AB208+AA208+VLOOKUP(C208,[1]apoio_Prec_Folha!$A:$S,7,FALSE))*AC208</f>
        <v>0</v>
      </c>
      <c r="AE208" s="42">
        <f>VLOOKUP(D208,[1]apoio_Preços_MGS!$A$6:$AN$238,36,FALSE)</f>
        <v>7.0000000000000007E-2</v>
      </c>
      <c r="AF208" s="40">
        <f>(U208+W208+Z208+AB208+AD208+AA208+VLOOKUP(C208,[1]apoio_Prec_Folha!$A:$S,7,FALSE))*AE208</f>
        <v>317.33203916468676</v>
      </c>
      <c r="AG208" s="40">
        <f t="shared" si="79"/>
        <v>4299.63</v>
      </c>
      <c r="AH208" s="43">
        <f t="shared" si="80"/>
        <v>4944.96</v>
      </c>
      <c r="AI208" s="43">
        <f t="shared" si="81"/>
        <v>9889.92</v>
      </c>
      <c r="AJ208" s="43">
        <f t="shared" si="82"/>
        <v>593395.19999999995</v>
      </c>
      <c r="AK208" s="44">
        <f>VLOOKUP(D208,[1]apoio_Preços_MGS!$A$6:$AN$238,39,FALSE)</f>
        <v>200.00000000000003</v>
      </c>
      <c r="AL208" s="44">
        <f>IF(J208="demais municípios",VLOOKUP(D208,[1]apoio_Preços_MGS!$A$6:$AN$238,39,FALSE),0)</f>
        <v>200.00000000000003</v>
      </c>
      <c r="AM208" s="44">
        <v>0</v>
      </c>
      <c r="AN208" s="45">
        <f t="shared" si="97"/>
        <v>400.00000000000006</v>
      </c>
      <c r="AO208" s="44">
        <f>VLOOKUP(D208,[1]apoio_Preços_MGS!$A$6:$AN$238,40,FALSE)</f>
        <v>551.01</v>
      </c>
      <c r="AP208" s="44">
        <f>IF(J208="demais municípios",VLOOKUP(D208,[1]apoio_Preços_MGS!$A$6:$AN$238,40,FALSE),0)</f>
        <v>551.01</v>
      </c>
      <c r="AQ208" s="44">
        <v>0</v>
      </c>
      <c r="AR208" s="45">
        <f t="shared" si="98"/>
        <v>1102.02</v>
      </c>
      <c r="AS208" s="45">
        <f t="shared" si="91"/>
        <v>1502.02</v>
      </c>
      <c r="AT208" s="45">
        <f t="shared" si="92"/>
        <v>90121.2</v>
      </c>
      <c r="AU208" s="62"/>
      <c r="AV208" s="46"/>
      <c r="AW208" s="47"/>
      <c r="AX208" s="48"/>
      <c r="AY208" s="49"/>
      <c r="BA208" s="48"/>
    </row>
    <row r="209" spans="1:53" ht="19.5" customHeight="1" x14ac:dyDescent="0.25">
      <c r="A209" s="33" t="str">
        <f t="shared" si="87"/>
        <v>63657440,05</v>
      </c>
      <c r="B209" s="33" t="str">
        <f t="shared" si="88"/>
        <v>2370,05</v>
      </c>
      <c r="C209" s="34" t="str">
        <f>VLOOKUP(D209,[1]apoio_Preços_MGS!$A$6:$B$238,2,FALSE)</f>
        <v>AUXILIAR DE SERVIÇOS</v>
      </c>
      <c r="D209" s="35">
        <v>237</v>
      </c>
      <c r="E209" s="33" t="str">
        <f>VLOOKUP(D209,[1]apoio_Preços_MGS!$A$6:$F$238,6,FALSE)</f>
        <v>AUXILIAR DE SERVIÇOS - DIARISTA DIURNO - 44H</v>
      </c>
      <c r="F209" s="36">
        <f>IFERROR(VLOOKUP(D209,'[1]apoio_cód catmas'!$B$2:$C$863,2,FALSE),0)</f>
        <v>63657</v>
      </c>
      <c r="G209" s="33" t="str">
        <f>IF(H209="N/A",VLOOKUP(F209&amp;40,'[1]apoio_cód catmas'!$A$1:$G$233,4,FALSE),VLOOKUP(F209&amp;H209,'[1]apoio_cód catmas'!$A$1:$G$233,4,FALSE))</f>
        <v>AUXILIAR DE SERVICOS - 40H OU 44H</v>
      </c>
      <c r="H209" s="36">
        <v>44</v>
      </c>
      <c r="I209" s="37">
        <v>0.05</v>
      </c>
      <c r="J209" s="38" t="s">
        <v>46</v>
      </c>
      <c r="K209" s="39">
        <f>86-K210</f>
        <v>3</v>
      </c>
      <c r="L209" s="39">
        <f t="shared" si="77"/>
        <v>180</v>
      </c>
      <c r="M209" s="40">
        <f>VLOOKUP(D209,[1]apoio_Preços_MGS!$A$6:$AN$238,18,FALSE)</f>
        <v>2007.4599342050217</v>
      </c>
      <c r="N209" s="40">
        <f>VLOOKUP(D209,[1]apoio_Preços_MGS!$A$6:$AN$238,19,FALSE)</f>
        <v>0</v>
      </c>
      <c r="O209" s="40">
        <f>VLOOKUP(D209,[1]apoio_Preços_MGS!$A$6:$AN$238,20,FALSE)</f>
        <v>0</v>
      </c>
      <c r="P209" s="40">
        <f>VLOOKUP(D209,[1]apoio_Preços_MGS!$A$6:$AN$238,21,FALSE)</f>
        <v>0</v>
      </c>
      <c r="Q209" s="40">
        <f>VLOOKUP(D209,[1]apoio_Preços_MGS!$A$6:$AN$238,22,FALSE)</f>
        <v>0</v>
      </c>
      <c r="R209" s="40">
        <f>VLOOKUP(D209,[1]apoio_Preços_MGS!$A$6:$AN$238,23,FALSE)</f>
        <v>0</v>
      </c>
      <c r="S209" s="40">
        <f>VLOOKUP(D209,[1]apoio_Preços_MGS!$A$6:$AN$238,24,FALSE)</f>
        <v>0</v>
      </c>
      <c r="T209" s="40">
        <f>VLOOKUP(D209,[1]apoio_Preços_MGS!$A$6:$AN$238,25,FALSE)</f>
        <v>0</v>
      </c>
      <c r="U209" s="40">
        <f t="shared" si="75"/>
        <v>2007.4599342050217</v>
      </c>
      <c r="V209" s="41">
        <v>0.81799999999999995</v>
      </c>
      <c r="W209" s="40">
        <f t="shared" si="76"/>
        <v>1642.1022261797077</v>
      </c>
      <c r="X209" s="40">
        <f>VLOOKUP(D209,[1]apoio_Preços_MGS!$A$6:$AN$238,29,FALSE)</f>
        <v>39.115656565656565</v>
      </c>
      <c r="Y209" s="40">
        <f>VLOOKUP(D209,[1]apoio_Preços_MGS!$A$6:$AN$238,30,FALSE)</f>
        <v>36.846229871941169</v>
      </c>
      <c r="Z209" s="40">
        <f t="shared" si="78"/>
        <v>75.961886437597741</v>
      </c>
      <c r="AA209" s="40">
        <f>VLOOKUP(D209,[1]apoio_Preços_MGS!$A$6:$AN$238,32,FALSE)</f>
        <v>3.8543230736736414</v>
      </c>
      <c r="AB209" s="40">
        <f>VLOOKUP(D209,[1]apoio_Preços_MGS!$A$6:$AN$238,33,FALSE)</f>
        <v>252.91982259414209</v>
      </c>
      <c r="AC209" s="41">
        <f>VLOOKUP(D209,[1]apoio_Preços_MGS!$A$6:$AN$238,34,FALSE)</f>
        <v>0</v>
      </c>
      <c r="AD209" s="40">
        <f>(U209+W209+Z209+AB209+AA209+VLOOKUP(C209,[1]apoio_Prec_Folha!$A:$S,7,FALSE))*AC209</f>
        <v>0</v>
      </c>
      <c r="AE209" s="42">
        <f>VLOOKUP(D209,[1]apoio_Preços_MGS!$A$6:$AN$238,36,FALSE)</f>
        <v>7.0000000000000007E-2</v>
      </c>
      <c r="AF209" s="40">
        <f>(U209+W209+Z209+AB209+AD209+AA209+VLOOKUP(C209,[1]apoio_Prec_Folha!$A:$S,7,FALSE))*AE209</f>
        <v>317.33203916468676</v>
      </c>
      <c r="AG209" s="40">
        <f t="shared" si="79"/>
        <v>4299.63</v>
      </c>
      <c r="AH209" s="43">
        <f t="shared" si="80"/>
        <v>5014.1400000000003</v>
      </c>
      <c r="AI209" s="43">
        <f t="shared" si="81"/>
        <v>15042.420000000002</v>
      </c>
      <c r="AJ209" s="43">
        <f t="shared" si="82"/>
        <v>902545.20000000007</v>
      </c>
      <c r="AK209" s="44">
        <f>VLOOKUP(D209,[1]apoio_Preços_MGS!$A$6:$AN$238,39,FALSE)</f>
        <v>200.00000000000003</v>
      </c>
      <c r="AL209" s="44">
        <f>IF(J209="demais municípios",VLOOKUP(D209,[1]apoio_Preços_MGS!$A$6:$AN$238,39,FALSE),0)</f>
        <v>200.00000000000003</v>
      </c>
      <c r="AM209" s="44">
        <v>0</v>
      </c>
      <c r="AN209" s="45">
        <f t="shared" si="97"/>
        <v>600.00000000000011</v>
      </c>
      <c r="AO209" s="44">
        <f>VLOOKUP(D209,[1]apoio_Preços_MGS!$A$6:$AN$238,40,FALSE)</f>
        <v>551.01</v>
      </c>
      <c r="AP209" s="44">
        <f>IF(J209="demais municípios",VLOOKUP(D209,[1]apoio_Preços_MGS!$A$6:$AN$238,40,FALSE),0)</f>
        <v>551.01</v>
      </c>
      <c r="AQ209" s="44">
        <v>0</v>
      </c>
      <c r="AR209" s="45">
        <f t="shared" si="98"/>
        <v>1653.03</v>
      </c>
      <c r="AS209" s="45">
        <f t="shared" si="91"/>
        <v>2253.0300000000002</v>
      </c>
      <c r="AT209" s="45">
        <f t="shared" si="92"/>
        <v>135181.80000000002</v>
      </c>
      <c r="AU209" s="62"/>
      <c r="AV209" s="46"/>
      <c r="AW209" s="47"/>
      <c r="AX209" s="48"/>
      <c r="AY209" s="49"/>
      <c r="BA209" s="48"/>
    </row>
    <row r="210" spans="1:53" ht="19.5" customHeight="1" x14ac:dyDescent="0.25">
      <c r="A210" s="33" t="str">
        <f t="shared" si="87"/>
        <v>63657440,05</v>
      </c>
      <c r="B210" s="33" t="str">
        <f t="shared" si="88"/>
        <v>2370,05</v>
      </c>
      <c r="C210" s="34" t="str">
        <f>VLOOKUP(D210,[1]apoio_Preços_MGS!$A$6:$B$238,2,FALSE)</f>
        <v>AUXILIAR DE SERVIÇOS</v>
      </c>
      <c r="D210" s="35">
        <v>237</v>
      </c>
      <c r="E210" s="33" t="str">
        <f>VLOOKUP(D210,[1]apoio_Preços_MGS!$A$6:$F$238,6,FALSE)</f>
        <v>AUXILIAR DE SERVIÇOS - DIARISTA DIURNO - 44H</v>
      </c>
      <c r="F210" s="36">
        <f>IFERROR(VLOOKUP(D210,'[1]apoio_cód catmas'!$B$2:$C$863,2,FALSE),0)</f>
        <v>63657</v>
      </c>
      <c r="G210" s="33" t="str">
        <f>IF(H210="N/A",VLOOKUP(F210&amp;40,'[1]apoio_cód catmas'!$A$1:$G$233,4,FALSE),VLOOKUP(F210&amp;H210,'[1]apoio_cód catmas'!$A$1:$G$233,4,FALSE))</f>
        <v>AUXILIAR DE SERVICOS - 40H OU 44H</v>
      </c>
      <c r="H210" s="36">
        <v>44</v>
      </c>
      <c r="I210" s="37">
        <v>0.05</v>
      </c>
      <c r="J210" s="38" t="s">
        <v>47</v>
      </c>
      <c r="K210" s="39">
        <v>83</v>
      </c>
      <c r="L210" s="39">
        <f t="shared" si="77"/>
        <v>4980</v>
      </c>
      <c r="M210" s="40">
        <f>VLOOKUP(D210,[1]apoio_Preços_MGS!$A$6:$AN$238,18,FALSE)</f>
        <v>2007.4599342050217</v>
      </c>
      <c r="N210" s="40">
        <f>VLOOKUP(D210,[1]apoio_Preços_MGS!$A$6:$AN$238,19,FALSE)</f>
        <v>0</v>
      </c>
      <c r="O210" s="40">
        <f>VLOOKUP(D210,[1]apoio_Preços_MGS!$A$6:$AN$238,20,FALSE)</f>
        <v>0</v>
      </c>
      <c r="P210" s="40">
        <f>VLOOKUP(D210,[1]apoio_Preços_MGS!$A$6:$AN$238,21,FALSE)</f>
        <v>0</v>
      </c>
      <c r="Q210" s="40">
        <f>VLOOKUP(D210,[1]apoio_Preços_MGS!$A$6:$AN$238,22,FALSE)</f>
        <v>0</v>
      </c>
      <c r="R210" s="40">
        <f>VLOOKUP(D210,[1]apoio_Preços_MGS!$A$6:$AN$238,23,FALSE)</f>
        <v>0</v>
      </c>
      <c r="S210" s="40">
        <f>VLOOKUP(D210,[1]apoio_Preços_MGS!$A$6:$AN$238,24,FALSE)</f>
        <v>0</v>
      </c>
      <c r="T210" s="40">
        <f>VLOOKUP(D210,[1]apoio_Preços_MGS!$A$6:$AN$238,25,FALSE)</f>
        <v>0</v>
      </c>
      <c r="U210" s="40">
        <f t="shared" si="75"/>
        <v>2007.4599342050217</v>
      </c>
      <c r="V210" s="41">
        <v>0.81799999999999995</v>
      </c>
      <c r="W210" s="40">
        <f t="shared" si="76"/>
        <v>1642.1022261797077</v>
      </c>
      <c r="X210" s="40">
        <f>VLOOKUP(D210,[1]apoio_Preços_MGS!$A$6:$AN$238,29,FALSE)</f>
        <v>39.115656565656565</v>
      </c>
      <c r="Y210" s="40">
        <f>VLOOKUP(D210,[1]apoio_Preços_MGS!$A$6:$AN$238,30,FALSE)</f>
        <v>36.846229871941169</v>
      </c>
      <c r="Z210" s="40">
        <f t="shared" si="78"/>
        <v>75.961886437597741</v>
      </c>
      <c r="AA210" s="40">
        <f>VLOOKUP(D210,[1]apoio_Preços_MGS!$A$6:$AN$238,32,FALSE)</f>
        <v>3.8543230736736414</v>
      </c>
      <c r="AB210" s="40">
        <f>VLOOKUP(D210,[1]apoio_Preços_MGS!$A$6:$AN$238,33,FALSE)</f>
        <v>252.91982259414209</v>
      </c>
      <c r="AC210" s="41">
        <f>VLOOKUP(D210,[1]apoio_Preços_MGS!$A$6:$AN$238,34,FALSE)</f>
        <v>0</v>
      </c>
      <c r="AD210" s="40">
        <f>(U210+W210+Z210+AB210+AA210+VLOOKUP(C210,[1]apoio_Prec_Folha!$A:$S,7,FALSE))*AC210</f>
        <v>0</v>
      </c>
      <c r="AE210" s="42">
        <f>VLOOKUP(D210,[1]apoio_Preços_MGS!$A$6:$AN$238,36,FALSE)</f>
        <v>7.0000000000000007E-2</v>
      </c>
      <c r="AF210" s="40">
        <f>(U210+W210+Z210+AB210+AD210+AA210+VLOOKUP(C210,[1]apoio_Prec_Folha!$A:$S,7,FALSE))*AE210</f>
        <v>317.33203916468676</v>
      </c>
      <c r="AG210" s="40">
        <f t="shared" si="79"/>
        <v>4299.63</v>
      </c>
      <c r="AH210" s="43">
        <f t="shared" si="80"/>
        <v>5014.1400000000003</v>
      </c>
      <c r="AI210" s="43">
        <f t="shared" si="81"/>
        <v>416173.62000000005</v>
      </c>
      <c r="AJ210" s="43">
        <f t="shared" si="82"/>
        <v>24970417.200000003</v>
      </c>
      <c r="AK210" s="44">
        <f>VLOOKUP(D210,[1]apoio_Preços_MGS!$A$6:$AN$238,39,FALSE)</f>
        <v>200.00000000000003</v>
      </c>
      <c r="AL210" s="44">
        <f>IF(J210="demais municípios",VLOOKUP(D210,[1]apoio_Preços_MGS!$A$6:$AN$238,39,FALSE),0)</f>
        <v>0</v>
      </c>
      <c r="AM210" s="44">
        <f>TRUNC(ROUND(($I210)/(1-($I210)),5)*VLOOKUP(D210,[1]apoio_Preços_MGS!$A$6:$AN$238,39,FALSE)+VLOOKUP(D210,[1]apoio_Preços_MGS!$A$6:$AN$238,39,FALSE),2)</f>
        <v>210.52</v>
      </c>
      <c r="AN210" s="45">
        <f t="shared" si="93"/>
        <v>17473.16</v>
      </c>
      <c r="AO210" s="44">
        <f>VLOOKUP(D210,[1]apoio_Preços_MGS!$A$6:$AN$238,40,FALSE)</f>
        <v>551.01</v>
      </c>
      <c r="AP210" s="44">
        <f>IF(J210="demais municípios",VLOOKUP(D210,[1]apoio_Preços_MGS!$A$6:$AN$238,40,FALSE),0)</f>
        <v>0</v>
      </c>
      <c r="AQ210" s="44">
        <f>TRUNC(ROUND(($I210)/(1-($I210)),5)*VLOOKUP(D210,[1]apoio_Preços_MGS!$A$6:$AN$238,40,FALSE)+VLOOKUP(D210,[1]apoio_Preços_MGS!$A$6:$AN$238,40,FALSE),2)</f>
        <v>580</v>
      </c>
      <c r="AR210" s="45">
        <f t="shared" si="94"/>
        <v>48140</v>
      </c>
      <c r="AS210" s="45">
        <f t="shared" si="91"/>
        <v>65613.16</v>
      </c>
      <c r="AT210" s="45">
        <f t="shared" si="92"/>
        <v>3936789.6</v>
      </c>
      <c r="AU210" s="62"/>
      <c r="AV210" s="46"/>
      <c r="AW210" s="47"/>
      <c r="AX210" s="48"/>
      <c r="AY210" s="49"/>
      <c r="BA210" s="48"/>
    </row>
    <row r="211" spans="1:53" ht="19.5" customHeight="1" x14ac:dyDescent="0.25">
      <c r="A211" s="33" t="str">
        <f t="shared" si="87"/>
        <v>64394440,03</v>
      </c>
      <c r="B211" s="33" t="str">
        <f t="shared" si="88"/>
        <v>2410,03</v>
      </c>
      <c r="C211" s="34" t="str">
        <f>VLOOKUP(D211,[1]apoio_Preços_MGS!$A$6:$B$238,2,FALSE)</f>
        <v>AUXILIAR DE SERVIÇOS</v>
      </c>
      <c r="D211" s="35">
        <v>241</v>
      </c>
      <c r="E211" s="33" t="str">
        <f>VLOOKUP(D211,[1]apoio_Preços_MGS!$A$6:$F$238,6,FALSE)</f>
        <v>AUXILIAR DE SERVIÇOS - (PERIC.) - DIARISTA DIURNO - 44H</v>
      </c>
      <c r="F211" s="36">
        <f>IFERROR(VLOOKUP(D211,'[1]apoio_cód catmas'!$B$2:$C$863,2,FALSE),0)</f>
        <v>64394</v>
      </c>
      <c r="G211" s="33" t="str">
        <f>IF(H211="N/A",VLOOKUP(F211&amp;40,'[1]apoio_cód catmas'!$A$1:$G$233,4,FALSE),VLOOKUP(F211&amp;H211,'[1]apoio_cód catmas'!$A$1:$G$233,4,FALSE))</f>
        <v>AUXILIAR DE SERVICOS (PERICULOSIDADE) - 40H OU 44H</v>
      </c>
      <c r="H211" s="36">
        <v>44</v>
      </c>
      <c r="I211" s="37">
        <v>0.03</v>
      </c>
      <c r="J211" s="38" t="s">
        <v>46</v>
      </c>
      <c r="K211" s="39">
        <v>4</v>
      </c>
      <c r="L211" s="39">
        <f t="shared" si="77"/>
        <v>240</v>
      </c>
      <c r="M211" s="40">
        <f>VLOOKUP(D211,[1]apoio_Preços_MGS!$A$6:$AN$238,18,FALSE)</f>
        <v>2007.4599342050217</v>
      </c>
      <c r="N211" s="40">
        <f>VLOOKUP(D211,[1]apoio_Preços_MGS!$A$6:$AN$238,19,FALSE)</f>
        <v>602.23798026150644</v>
      </c>
      <c r="O211" s="40">
        <f>VLOOKUP(D211,[1]apoio_Preços_MGS!$A$6:$AN$238,20,FALSE)</f>
        <v>0</v>
      </c>
      <c r="P211" s="40">
        <f>VLOOKUP(D211,[1]apoio_Preços_MGS!$A$6:$AN$238,21,FALSE)</f>
        <v>0</v>
      </c>
      <c r="Q211" s="40">
        <f>VLOOKUP(D211,[1]apoio_Preços_MGS!$A$6:$AN$238,22,FALSE)</f>
        <v>0</v>
      </c>
      <c r="R211" s="40">
        <f>VLOOKUP(D211,[1]apoio_Preços_MGS!$A$6:$AN$238,23,FALSE)</f>
        <v>0</v>
      </c>
      <c r="S211" s="40">
        <f>VLOOKUP(D211,[1]apoio_Preços_MGS!$A$6:$AN$238,24,FALSE)</f>
        <v>0</v>
      </c>
      <c r="T211" s="40">
        <f>VLOOKUP(D211,[1]apoio_Preços_MGS!$A$6:$AN$238,25,FALSE)</f>
        <v>0</v>
      </c>
      <c r="U211" s="40">
        <f t="shared" si="75"/>
        <v>2609.6979144665283</v>
      </c>
      <c r="V211" s="41">
        <v>0.81799999999999995</v>
      </c>
      <c r="W211" s="40">
        <f t="shared" si="76"/>
        <v>2134.7328940336201</v>
      </c>
      <c r="X211" s="40">
        <f>VLOOKUP(D211,[1]apoio_Preços_MGS!$A$6:$AN$238,29,FALSE)</f>
        <v>39.115656565656565</v>
      </c>
      <c r="Y211" s="40">
        <f>VLOOKUP(D211,[1]apoio_Preços_MGS!$A$6:$AN$238,30,FALSE)</f>
        <v>36.846229871941169</v>
      </c>
      <c r="Z211" s="40">
        <f t="shared" si="78"/>
        <v>75.961886437597741</v>
      </c>
      <c r="AA211" s="40">
        <f>VLOOKUP(D211,[1]apoio_Preços_MGS!$A$6:$AN$238,32,FALSE)</f>
        <v>3.8543230736736414</v>
      </c>
      <c r="AB211" s="40">
        <f>VLOOKUP(D211,[1]apoio_Preços_MGS!$A$6:$AN$238,33,FALSE)</f>
        <v>252.91982259414209</v>
      </c>
      <c r="AC211" s="41">
        <f>VLOOKUP(D211,[1]apoio_Preços_MGS!$A$6:$AN$238,34,FALSE)</f>
        <v>0</v>
      </c>
      <c r="AD211" s="40">
        <f>(U211+W211+Z211+AB211+AA211+VLOOKUP(C211,[1]apoio_Prec_Folha!$A:$S,7,FALSE))*AC211</f>
        <v>0</v>
      </c>
      <c r="AE211" s="42">
        <f>VLOOKUP(D211,[1]apoio_Preços_MGS!$A$6:$AN$238,36,FALSE)</f>
        <v>7.0000000000000007E-2</v>
      </c>
      <c r="AF211" s="40">
        <f>(U211+W211+Z211+AB211+AD211+AA211+VLOOKUP(C211,[1]apoio_Prec_Folha!$A:$S,7,FALSE))*AE211</f>
        <v>393.97284453276609</v>
      </c>
      <c r="AG211" s="40">
        <f t="shared" si="79"/>
        <v>5471.13</v>
      </c>
      <c r="AH211" s="43">
        <f t="shared" si="80"/>
        <v>6234.89</v>
      </c>
      <c r="AI211" s="43">
        <f t="shared" si="81"/>
        <v>24939.56</v>
      </c>
      <c r="AJ211" s="43">
        <f t="shared" si="82"/>
        <v>1496373.6</v>
      </c>
      <c r="AK211" s="44">
        <f>VLOOKUP(D211,[1]apoio_Preços_MGS!$A$6:$AN$238,39,FALSE)</f>
        <v>200.00000000000003</v>
      </c>
      <c r="AL211" s="44">
        <f>IF(J211="demais municípios",VLOOKUP(D211,[1]apoio_Preços_MGS!$A$6:$AN$238,39,FALSE),0)</f>
        <v>200.00000000000003</v>
      </c>
      <c r="AM211" s="44">
        <v>0</v>
      </c>
      <c r="AN211" s="45">
        <f>AK211*K211</f>
        <v>800.00000000000011</v>
      </c>
      <c r="AO211" s="44">
        <f>VLOOKUP(D211,[1]apoio_Preços_MGS!$A$6:$AN$238,40,FALSE)</f>
        <v>551.01</v>
      </c>
      <c r="AP211" s="44">
        <f>IF(J211="demais municípios",VLOOKUP(D211,[1]apoio_Preços_MGS!$A$6:$AN$238,40,FALSE),0)</f>
        <v>551.01</v>
      </c>
      <c r="AQ211" s="44">
        <v>0</v>
      </c>
      <c r="AR211" s="45">
        <f>AO211*K211</f>
        <v>2204.04</v>
      </c>
      <c r="AS211" s="45">
        <f t="shared" si="91"/>
        <v>3004.04</v>
      </c>
      <c r="AT211" s="45">
        <f t="shared" si="92"/>
        <v>180242.4</v>
      </c>
      <c r="AU211" s="62"/>
      <c r="AV211" s="46"/>
      <c r="AW211" s="47"/>
      <c r="AX211" s="48"/>
      <c r="AY211" s="49"/>
      <c r="BA211" s="48"/>
    </row>
    <row r="212" spans="1:53" ht="19.5" customHeight="1" x14ac:dyDescent="0.25">
      <c r="A212" s="33" t="str">
        <f t="shared" si="87"/>
        <v>64394440,05</v>
      </c>
      <c r="B212" s="33" t="str">
        <f t="shared" si="88"/>
        <v>2410,05</v>
      </c>
      <c r="C212" s="34" t="str">
        <f>VLOOKUP(D212,[1]apoio_Preços_MGS!$A$6:$B$238,2,FALSE)</f>
        <v>AUXILIAR DE SERVIÇOS</v>
      </c>
      <c r="D212" s="35">
        <v>241</v>
      </c>
      <c r="E212" s="33" t="str">
        <f>VLOOKUP(D212,[1]apoio_Preços_MGS!$A$6:$F$238,6,FALSE)</f>
        <v>AUXILIAR DE SERVIÇOS - (PERIC.) - DIARISTA DIURNO - 44H</v>
      </c>
      <c r="F212" s="36">
        <f>IFERROR(VLOOKUP(D212,'[1]apoio_cód catmas'!$B$2:$C$863,2,FALSE),0)</f>
        <v>64394</v>
      </c>
      <c r="G212" s="33" t="str">
        <f>IF(H212="N/A",VLOOKUP(F212&amp;40,'[1]apoio_cód catmas'!$A$1:$G$233,4,FALSE),VLOOKUP(F212&amp;H212,'[1]apoio_cód catmas'!$A$1:$G$233,4,FALSE))</f>
        <v>AUXILIAR DE SERVICOS (PERICULOSIDADE) - 40H OU 44H</v>
      </c>
      <c r="H212" s="36">
        <v>44</v>
      </c>
      <c r="I212" s="37">
        <v>0.05</v>
      </c>
      <c r="J212" s="38" t="s">
        <v>47</v>
      </c>
      <c r="K212" s="39">
        <v>7</v>
      </c>
      <c r="L212" s="39">
        <f t="shared" si="77"/>
        <v>420</v>
      </c>
      <c r="M212" s="40">
        <f>VLOOKUP(D212,[1]apoio_Preços_MGS!$A$6:$AN$238,18,FALSE)</f>
        <v>2007.4599342050217</v>
      </c>
      <c r="N212" s="40">
        <f>VLOOKUP(D212,[1]apoio_Preços_MGS!$A$6:$AN$238,19,FALSE)</f>
        <v>602.23798026150644</v>
      </c>
      <c r="O212" s="40">
        <f>VLOOKUP(D212,[1]apoio_Preços_MGS!$A$6:$AN$238,20,FALSE)</f>
        <v>0</v>
      </c>
      <c r="P212" s="40">
        <f>VLOOKUP(D212,[1]apoio_Preços_MGS!$A$6:$AN$238,21,FALSE)</f>
        <v>0</v>
      </c>
      <c r="Q212" s="40">
        <f>VLOOKUP(D212,[1]apoio_Preços_MGS!$A$6:$AN$238,22,FALSE)</f>
        <v>0</v>
      </c>
      <c r="R212" s="40">
        <f>VLOOKUP(D212,[1]apoio_Preços_MGS!$A$6:$AN$238,23,FALSE)</f>
        <v>0</v>
      </c>
      <c r="S212" s="40">
        <f>VLOOKUP(D212,[1]apoio_Preços_MGS!$A$6:$AN$238,24,FALSE)</f>
        <v>0</v>
      </c>
      <c r="T212" s="40">
        <f>VLOOKUP(D212,[1]apoio_Preços_MGS!$A$6:$AN$238,25,FALSE)</f>
        <v>0</v>
      </c>
      <c r="U212" s="40">
        <f t="shared" si="75"/>
        <v>2609.6979144665283</v>
      </c>
      <c r="V212" s="41">
        <v>0.81799999999999995</v>
      </c>
      <c r="W212" s="40">
        <f t="shared" si="76"/>
        <v>2134.7328940336201</v>
      </c>
      <c r="X212" s="40">
        <f>VLOOKUP(D212,[1]apoio_Preços_MGS!$A$6:$AN$238,29,FALSE)</f>
        <v>39.115656565656565</v>
      </c>
      <c r="Y212" s="40">
        <f>VLOOKUP(D212,[1]apoio_Preços_MGS!$A$6:$AN$238,30,FALSE)</f>
        <v>36.846229871941169</v>
      </c>
      <c r="Z212" s="40">
        <f t="shared" si="78"/>
        <v>75.961886437597741</v>
      </c>
      <c r="AA212" s="40">
        <f>VLOOKUP(D212,[1]apoio_Preços_MGS!$A$6:$AN$238,32,FALSE)</f>
        <v>3.8543230736736414</v>
      </c>
      <c r="AB212" s="40">
        <f>VLOOKUP(D212,[1]apoio_Preços_MGS!$A$6:$AN$238,33,FALSE)</f>
        <v>252.91982259414209</v>
      </c>
      <c r="AC212" s="41">
        <f>VLOOKUP(D212,[1]apoio_Preços_MGS!$A$6:$AN$238,34,FALSE)</f>
        <v>0</v>
      </c>
      <c r="AD212" s="40">
        <f>(U212+W212+Z212+AB212+AA212+VLOOKUP(C212,[1]apoio_Prec_Folha!$A:$S,7,FALSE))*AC212</f>
        <v>0</v>
      </c>
      <c r="AE212" s="42">
        <f>VLOOKUP(D212,[1]apoio_Preços_MGS!$A$6:$AN$238,36,FALSE)</f>
        <v>7.0000000000000007E-2</v>
      </c>
      <c r="AF212" s="40">
        <f>(U212+W212+Z212+AB212+AD212+AA212+VLOOKUP(C212,[1]apoio_Prec_Folha!$A:$S,7,FALSE))*AE212</f>
        <v>393.97284453276609</v>
      </c>
      <c r="AG212" s="40">
        <f t="shared" si="79"/>
        <v>5471.13</v>
      </c>
      <c r="AH212" s="43">
        <f t="shared" si="80"/>
        <v>6380.32</v>
      </c>
      <c r="AI212" s="43">
        <f t="shared" si="81"/>
        <v>44662.239999999998</v>
      </c>
      <c r="AJ212" s="43">
        <f t="shared" si="82"/>
        <v>2679734.4</v>
      </c>
      <c r="AK212" s="44">
        <f>VLOOKUP(D212,[1]apoio_Preços_MGS!$A$6:$AN$238,39,FALSE)</f>
        <v>200.00000000000003</v>
      </c>
      <c r="AL212" s="44">
        <f>IF(J212="demais municípios",VLOOKUP(D212,[1]apoio_Preços_MGS!$A$6:$AN$238,39,FALSE),0)</f>
        <v>0</v>
      </c>
      <c r="AM212" s="44">
        <f>TRUNC(ROUND(($I212)/(1-($I212)),5)*VLOOKUP(D212,[1]apoio_Preços_MGS!$A$6:$AN$238,39,FALSE)+VLOOKUP(D212,[1]apoio_Preços_MGS!$A$6:$AN$238,39,FALSE),2)</f>
        <v>210.52</v>
      </c>
      <c r="AN212" s="45">
        <f t="shared" si="93"/>
        <v>1473.64</v>
      </c>
      <c r="AO212" s="44">
        <f>VLOOKUP(D212,[1]apoio_Preços_MGS!$A$6:$AN$238,40,FALSE)</f>
        <v>551.01</v>
      </c>
      <c r="AP212" s="44">
        <f>IF(J212="demais municípios",VLOOKUP(D212,[1]apoio_Preços_MGS!$A$6:$AN$238,40,FALSE),0)</f>
        <v>0</v>
      </c>
      <c r="AQ212" s="44">
        <f>TRUNC(ROUND(($I212)/(1-($I212)),5)*VLOOKUP(D212,[1]apoio_Preços_MGS!$A$6:$AN$238,40,FALSE)+VLOOKUP(D212,[1]apoio_Preços_MGS!$A$6:$AN$238,40,FALSE),2)</f>
        <v>580</v>
      </c>
      <c r="AR212" s="45">
        <f t="shared" si="94"/>
        <v>4060</v>
      </c>
      <c r="AS212" s="45">
        <f t="shared" si="91"/>
        <v>5533.64</v>
      </c>
      <c r="AT212" s="45">
        <f t="shared" si="92"/>
        <v>332018.40000000002</v>
      </c>
      <c r="AU212" s="62"/>
      <c r="AV212" s="46"/>
      <c r="AW212" s="47"/>
      <c r="AX212" s="48"/>
      <c r="AY212" s="49"/>
      <c r="BA212" s="48"/>
    </row>
    <row r="213" spans="1:53" ht="19.5" customHeight="1" x14ac:dyDescent="0.25">
      <c r="A213" s="33" t="str">
        <f t="shared" si="87"/>
        <v>146242400,03</v>
      </c>
      <c r="B213" s="33" t="str">
        <f t="shared" si="88"/>
        <v>19050,03</v>
      </c>
      <c r="C213" s="34" t="str">
        <f>VLOOKUP(D213,[1]apoio_Preços_MGS!$A$6:$B$238,2,FALSE)</f>
        <v>OPERADOR DE BARRAGEM</v>
      </c>
      <c r="D213" s="35">
        <v>1905</v>
      </c>
      <c r="E213" s="33" t="str">
        <f>VLOOKUP(D213,[1]apoio_Preços_MGS!$A$6:$F$238,6,FALSE)</f>
        <v>OPERADOR DE BARRAGEM - DIARISTA DIURNO - 40H</v>
      </c>
      <c r="F213" s="36">
        <f>IFERROR(VLOOKUP(D213,'[1]apoio_cód catmas'!$B$2:$C$863,2,FALSE),0)</f>
        <v>146242</v>
      </c>
      <c r="G213" s="33" t="str">
        <f>IF(H213="N/A",VLOOKUP(F213&amp;40,'[1]apoio_cód catmas'!$A$1:$G$233,4,FALSE),VLOOKUP(F213&amp;H213,'[1]apoio_cód catmas'!$A$1:$G$233,4,FALSE))</f>
        <v>OPERADOR DE BARRAGEM - 40H OU 44H</v>
      </c>
      <c r="H213" s="36">
        <v>40</v>
      </c>
      <c r="I213" s="37">
        <v>0.03</v>
      </c>
      <c r="J213" s="38" t="s">
        <v>46</v>
      </c>
      <c r="K213" s="39">
        <f>10-4</f>
        <v>6</v>
      </c>
      <c r="L213" s="39">
        <f t="shared" si="77"/>
        <v>360</v>
      </c>
      <c r="M213" s="40">
        <f>VLOOKUP(D213,[1]apoio_Preços_MGS!$A$6:$AN$238,18,FALSE)</f>
        <v>3644.5402499999991</v>
      </c>
      <c r="N213" s="40">
        <f>VLOOKUP(D213,[1]apoio_Preços_MGS!$A$6:$AN$238,19,FALSE)</f>
        <v>0</v>
      </c>
      <c r="O213" s="40">
        <f>VLOOKUP(D213,[1]apoio_Preços_MGS!$A$6:$AN$238,20,FALSE)</f>
        <v>0</v>
      </c>
      <c r="P213" s="40">
        <f>VLOOKUP(D213,[1]apoio_Preços_MGS!$A$6:$AN$238,21,FALSE)</f>
        <v>0</v>
      </c>
      <c r="Q213" s="40">
        <f>VLOOKUP(D213,[1]apoio_Preços_MGS!$A$6:$AN$238,22,FALSE)</f>
        <v>0</v>
      </c>
      <c r="R213" s="40">
        <f>VLOOKUP(D213,[1]apoio_Preços_MGS!$A$6:$AN$238,23,FALSE)</f>
        <v>0</v>
      </c>
      <c r="S213" s="40">
        <f>VLOOKUP(D213,[1]apoio_Preços_MGS!$A$6:$AN$238,24,FALSE)</f>
        <v>0</v>
      </c>
      <c r="T213" s="40">
        <f>VLOOKUP(D213,[1]apoio_Preços_MGS!$A$6:$AN$238,25,FALSE)</f>
        <v>0</v>
      </c>
      <c r="U213" s="40">
        <f t="shared" si="75"/>
        <v>3644.5402499999991</v>
      </c>
      <c r="V213" s="41">
        <v>0.81799999999999995</v>
      </c>
      <c r="W213" s="40">
        <f t="shared" si="76"/>
        <v>2981.2339244999989</v>
      </c>
      <c r="X213" s="40">
        <f>VLOOKUP(D213,[1]apoio_Preços_MGS!$A$6:$AN$238,29,FALSE)</f>
        <v>0</v>
      </c>
      <c r="Y213" s="40">
        <f>VLOOKUP(D213,[1]apoio_Preços_MGS!$A$6:$AN$238,30,FALSE)</f>
        <v>0</v>
      </c>
      <c r="Z213" s="40">
        <f t="shared" si="78"/>
        <v>0</v>
      </c>
      <c r="AA213" s="40">
        <f>VLOOKUP(D213,[1]apoio_Preços_MGS!$A$6:$AN$238,32,FALSE)</f>
        <v>6.9975172799999976</v>
      </c>
      <c r="AB213" s="40">
        <f>VLOOKUP(D213,[1]apoio_Preços_MGS!$A$6:$AN$238,33,FALSE)</f>
        <v>0</v>
      </c>
      <c r="AC213" s="41">
        <f>VLOOKUP(D213,[1]apoio_Preços_MGS!$A$6:$AN$238,34,FALSE)</f>
        <v>0</v>
      </c>
      <c r="AD213" s="40">
        <f>(U213+W213+Z213+AB213+AA213+VLOOKUP(C213,[1]apoio_Prec_Folha!$A:$S,7,FALSE))*AC213</f>
        <v>0</v>
      </c>
      <c r="AE213" s="42">
        <f>VLOOKUP(D213,[1]apoio_Preços_MGS!$A$6:$AN$238,36,FALSE)</f>
        <v>7.0000000000000007E-2</v>
      </c>
      <c r="AF213" s="40">
        <f>(U213+W213+Z213+AB213+AD213+AA213+VLOOKUP(C213,[1]apoio_Prec_Folha!$A:$S,7,FALSE))*AE213</f>
        <v>502.9046184245999</v>
      </c>
      <c r="AG213" s="40">
        <f t="shared" si="79"/>
        <v>7135.67</v>
      </c>
      <c r="AH213" s="43">
        <f t="shared" si="80"/>
        <v>8131.8</v>
      </c>
      <c r="AI213" s="43">
        <f t="shared" si="81"/>
        <v>48790.8</v>
      </c>
      <c r="AJ213" s="43">
        <f t="shared" si="82"/>
        <v>2927448</v>
      </c>
      <c r="AK213" s="44">
        <f>VLOOKUP(D213,[1]apoio_Preços_MGS!$A$6:$AN$238,39,FALSE)</f>
        <v>181.81818181818184</v>
      </c>
      <c r="AL213" s="44">
        <f>IF(J213="demais municípios",VLOOKUP(D213,[1]apoio_Preços_MGS!$A$6:$AN$238,39,FALSE),0)</f>
        <v>181.81818181818184</v>
      </c>
      <c r="AM213" s="44">
        <v>0</v>
      </c>
      <c r="AN213" s="45">
        <f t="shared" ref="AN213:AN217" si="99">AK213*K213</f>
        <v>1090.909090909091</v>
      </c>
      <c r="AO213" s="44">
        <f>VLOOKUP(D213,[1]apoio_Preços_MGS!$A$6:$AN$238,40,FALSE)</f>
        <v>551.58000000000004</v>
      </c>
      <c r="AP213" s="44">
        <f>IF(J213="demais municípios",VLOOKUP(D213,[1]apoio_Preços_MGS!$A$6:$AN$238,40,FALSE),0)</f>
        <v>551.58000000000004</v>
      </c>
      <c r="AQ213" s="44">
        <v>0</v>
      </c>
      <c r="AR213" s="45">
        <f t="shared" ref="AR213:AR217" si="100">AO213*K213</f>
        <v>3309.4800000000005</v>
      </c>
      <c r="AS213" s="45">
        <f t="shared" si="91"/>
        <v>4400.3890909090915</v>
      </c>
      <c r="AT213" s="45">
        <f t="shared" si="92"/>
        <v>264023.34545454546</v>
      </c>
      <c r="AU213" s="62"/>
      <c r="AV213" s="46"/>
      <c r="AW213" s="47"/>
      <c r="AX213" s="48"/>
      <c r="AY213" s="49"/>
      <c r="BA213" s="48"/>
    </row>
    <row r="214" spans="1:53" ht="19.5" customHeight="1" x14ac:dyDescent="0.25">
      <c r="A214" s="33" t="str">
        <f t="shared" si="87"/>
        <v>146242400,04</v>
      </c>
      <c r="B214" s="33" t="str">
        <f t="shared" si="88"/>
        <v>19050,04</v>
      </c>
      <c r="C214" s="34" t="str">
        <f>VLOOKUP(D214,[1]apoio_Preços_MGS!$A$6:$B$238,2,FALSE)</f>
        <v>OPERADOR DE BARRAGEM</v>
      </c>
      <c r="D214" s="35">
        <v>1905</v>
      </c>
      <c r="E214" s="33" t="str">
        <f>VLOOKUP(D214,[1]apoio_Preços_MGS!$A$6:$F$238,6,FALSE)</f>
        <v>OPERADOR DE BARRAGEM - DIARISTA DIURNO - 40H</v>
      </c>
      <c r="F214" s="36">
        <f>IFERROR(VLOOKUP(D214,'[1]apoio_cód catmas'!$B$2:$C$863,2,FALSE),0)</f>
        <v>146242</v>
      </c>
      <c r="G214" s="33" t="str">
        <f>IF(H214="N/A",VLOOKUP(F214&amp;40,'[1]apoio_cód catmas'!$A$1:$G$233,4,FALSE),VLOOKUP(F214&amp;H214,'[1]apoio_cód catmas'!$A$1:$G$233,4,FALSE))</f>
        <v>OPERADOR DE BARRAGEM - 40H OU 44H</v>
      </c>
      <c r="H214" s="36">
        <v>40</v>
      </c>
      <c r="I214" s="37">
        <v>0.04</v>
      </c>
      <c r="J214" s="38" t="s">
        <v>46</v>
      </c>
      <c r="K214" s="39">
        <v>2</v>
      </c>
      <c r="L214" s="39">
        <f t="shared" si="77"/>
        <v>120</v>
      </c>
      <c r="M214" s="40">
        <f>VLOOKUP(D214,[1]apoio_Preços_MGS!$A$6:$AN$238,18,FALSE)</f>
        <v>3644.5402499999991</v>
      </c>
      <c r="N214" s="40">
        <f>VLOOKUP(D214,[1]apoio_Preços_MGS!$A$6:$AN$238,19,FALSE)</f>
        <v>0</v>
      </c>
      <c r="O214" s="40">
        <f>VLOOKUP(D214,[1]apoio_Preços_MGS!$A$6:$AN$238,20,FALSE)</f>
        <v>0</v>
      </c>
      <c r="P214" s="40">
        <f>VLOOKUP(D214,[1]apoio_Preços_MGS!$A$6:$AN$238,21,FALSE)</f>
        <v>0</v>
      </c>
      <c r="Q214" s="40">
        <f>VLOOKUP(D214,[1]apoio_Preços_MGS!$A$6:$AN$238,22,FALSE)</f>
        <v>0</v>
      </c>
      <c r="R214" s="40">
        <f>VLOOKUP(D214,[1]apoio_Preços_MGS!$A$6:$AN$238,23,FALSE)</f>
        <v>0</v>
      </c>
      <c r="S214" s="40">
        <f>VLOOKUP(D214,[1]apoio_Preços_MGS!$A$6:$AN$238,24,FALSE)</f>
        <v>0</v>
      </c>
      <c r="T214" s="40">
        <f>VLOOKUP(D214,[1]apoio_Preços_MGS!$A$6:$AN$238,25,FALSE)</f>
        <v>0</v>
      </c>
      <c r="U214" s="40">
        <f t="shared" si="75"/>
        <v>3644.5402499999991</v>
      </c>
      <c r="V214" s="41">
        <v>0.81799999999999995</v>
      </c>
      <c r="W214" s="40">
        <f t="shared" si="76"/>
        <v>2981.2339244999989</v>
      </c>
      <c r="X214" s="40">
        <f>VLOOKUP(D214,[1]apoio_Preços_MGS!$A$6:$AN$238,29,FALSE)</f>
        <v>0</v>
      </c>
      <c r="Y214" s="40">
        <f>VLOOKUP(D214,[1]apoio_Preços_MGS!$A$6:$AN$238,30,FALSE)</f>
        <v>0</v>
      </c>
      <c r="Z214" s="40">
        <f t="shared" si="78"/>
        <v>0</v>
      </c>
      <c r="AA214" s="40">
        <f>VLOOKUP(D214,[1]apoio_Preços_MGS!$A$6:$AN$238,32,FALSE)</f>
        <v>6.9975172799999976</v>
      </c>
      <c r="AB214" s="40">
        <f>VLOOKUP(D214,[1]apoio_Preços_MGS!$A$6:$AN$238,33,FALSE)</f>
        <v>0</v>
      </c>
      <c r="AC214" s="41">
        <f>VLOOKUP(D214,[1]apoio_Preços_MGS!$A$6:$AN$238,34,FALSE)</f>
        <v>0</v>
      </c>
      <c r="AD214" s="40">
        <f>(U214+W214+Z214+AB214+AA214+VLOOKUP(C214,[1]apoio_Prec_Folha!$A:$S,7,FALSE))*AC214</f>
        <v>0</v>
      </c>
      <c r="AE214" s="42">
        <f>VLOOKUP(D214,[1]apoio_Preços_MGS!$A$6:$AN$238,36,FALSE)</f>
        <v>7.0000000000000007E-2</v>
      </c>
      <c r="AF214" s="40">
        <f>(U214+W214+Z214+AB214+AD214+AA214+VLOOKUP(C214,[1]apoio_Prec_Folha!$A:$S,7,FALSE))*AE214</f>
        <v>502.9046184245999</v>
      </c>
      <c r="AG214" s="40">
        <f t="shared" si="79"/>
        <v>7135.67</v>
      </c>
      <c r="AH214" s="43">
        <f t="shared" si="80"/>
        <v>8225.57</v>
      </c>
      <c r="AI214" s="43">
        <f t="shared" si="81"/>
        <v>16451.14</v>
      </c>
      <c r="AJ214" s="43">
        <f t="shared" si="82"/>
        <v>987068.39999999991</v>
      </c>
      <c r="AK214" s="44">
        <f>VLOOKUP(D214,[1]apoio_Preços_MGS!$A$6:$AN$238,39,FALSE)</f>
        <v>181.81818181818184</v>
      </c>
      <c r="AL214" s="44">
        <f>IF(J214="demais municípios",VLOOKUP(D214,[1]apoio_Preços_MGS!$A$6:$AN$238,39,FALSE),0)</f>
        <v>181.81818181818184</v>
      </c>
      <c r="AM214" s="44">
        <v>0</v>
      </c>
      <c r="AN214" s="45">
        <f t="shared" si="99"/>
        <v>363.63636363636368</v>
      </c>
      <c r="AO214" s="44">
        <f>VLOOKUP(D214,[1]apoio_Preços_MGS!$A$6:$AN$238,40,FALSE)</f>
        <v>551.58000000000004</v>
      </c>
      <c r="AP214" s="44">
        <f>IF(J214="demais municípios",VLOOKUP(D214,[1]apoio_Preços_MGS!$A$6:$AN$238,40,FALSE),0)</f>
        <v>551.58000000000004</v>
      </c>
      <c r="AQ214" s="44">
        <v>0</v>
      </c>
      <c r="AR214" s="45">
        <f t="shared" si="100"/>
        <v>1103.1600000000001</v>
      </c>
      <c r="AS214" s="45">
        <f t="shared" si="91"/>
        <v>1466.7963636363638</v>
      </c>
      <c r="AT214" s="45">
        <f t="shared" si="92"/>
        <v>88007.781818181829</v>
      </c>
      <c r="AU214" s="62"/>
      <c r="AV214" s="46"/>
      <c r="AW214" s="47"/>
      <c r="AX214" s="48"/>
      <c r="AY214" s="49"/>
      <c r="BA214" s="48"/>
    </row>
    <row r="215" spans="1:53" ht="19.5" customHeight="1" x14ac:dyDescent="0.25">
      <c r="A215" s="33" t="str">
        <f t="shared" si="87"/>
        <v>146242400,05</v>
      </c>
      <c r="B215" s="33" t="str">
        <f t="shared" si="88"/>
        <v>19050,05</v>
      </c>
      <c r="C215" s="34" t="str">
        <f>VLOOKUP(D215,[1]apoio_Preços_MGS!$A$6:$B$238,2,FALSE)</f>
        <v>OPERADOR DE BARRAGEM</v>
      </c>
      <c r="D215" s="35">
        <v>1905</v>
      </c>
      <c r="E215" s="33" t="str">
        <f>VLOOKUP(D215,[1]apoio_Preços_MGS!$A$6:$F$238,6,FALSE)</f>
        <v>OPERADOR DE BARRAGEM - DIARISTA DIURNO - 40H</v>
      </c>
      <c r="F215" s="36">
        <f>IFERROR(VLOOKUP(D215,'[1]apoio_cód catmas'!$B$2:$C$863,2,FALSE),0)</f>
        <v>146242</v>
      </c>
      <c r="G215" s="33" t="str">
        <f>IF(H215="N/A",VLOOKUP(F215&amp;40,'[1]apoio_cód catmas'!$A$1:$G$233,4,FALSE),VLOOKUP(F215&amp;H215,'[1]apoio_cód catmas'!$A$1:$G$233,4,FALSE))</f>
        <v>OPERADOR DE BARRAGEM - 40H OU 44H</v>
      </c>
      <c r="H215" s="36">
        <v>40</v>
      </c>
      <c r="I215" s="37">
        <v>0.05</v>
      </c>
      <c r="J215" s="38" t="s">
        <v>46</v>
      </c>
      <c r="K215" s="39">
        <v>4</v>
      </c>
      <c r="L215" s="39">
        <f>K215*56</f>
        <v>224</v>
      </c>
      <c r="M215" s="40">
        <f>VLOOKUP(D215,[1]apoio_Preços_MGS!$A$6:$AN$238,18,FALSE)</f>
        <v>3644.5402499999991</v>
      </c>
      <c r="N215" s="40">
        <f>VLOOKUP(D215,[1]apoio_Preços_MGS!$A$6:$AN$238,19,FALSE)</f>
        <v>0</v>
      </c>
      <c r="O215" s="40">
        <f>VLOOKUP(D215,[1]apoio_Preços_MGS!$A$6:$AN$238,20,FALSE)</f>
        <v>0</v>
      </c>
      <c r="P215" s="40">
        <f>VLOOKUP(D215,[1]apoio_Preços_MGS!$A$6:$AN$238,21,FALSE)</f>
        <v>0</v>
      </c>
      <c r="Q215" s="40">
        <f>VLOOKUP(D215,[1]apoio_Preços_MGS!$A$6:$AN$238,22,FALSE)</f>
        <v>0</v>
      </c>
      <c r="R215" s="40">
        <f>VLOOKUP(D215,[1]apoio_Preços_MGS!$A$6:$AN$238,23,FALSE)</f>
        <v>0</v>
      </c>
      <c r="S215" s="40">
        <f>VLOOKUP(D215,[1]apoio_Preços_MGS!$A$6:$AN$238,24,FALSE)</f>
        <v>0</v>
      </c>
      <c r="T215" s="40">
        <f>VLOOKUP(D215,[1]apoio_Preços_MGS!$A$6:$AN$238,25,FALSE)</f>
        <v>0</v>
      </c>
      <c r="U215" s="40">
        <f t="shared" si="75"/>
        <v>3644.5402499999991</v>
      </c>
      <c r="V215" s="41">
        <v>0.81799999999999995</v>
      </c>
      <c r="W215" s="40">
        <f t="shared" si="76"/>
        <v>2981.2339244999989</v>
      </c>
      <c r="X215" s="40">
        <f>VLOOKUP(D215,[1]apoio_Preços_MGS!$A$6:$AN$238,29,FALSE)</f>
        <v>0</v>
      </c>
      <c r="Y215" s="40">
        <f>VLOOKUP(D215,[1]apoio_Preços_MGS!$A$6:$AN$238,30,FALSE)</f>
        <v>0</v>
      </c>
      <c r="Z215" s="40">
        <f t="shared" si="78"/>
        <v>0</v>
      </c>
      <c r="AA215" s="40">
        <f>VLOOKUP(D215,[1]apoio_Preços_MGS!$A$6:$AN$238,32,FALSE)</f>
        <v>6.9975172799999976</v>
      </c>
      <c r="AB215" s="40">
        <f>VLOOKUP(D215,[1]apoio_Preços_MGS!$A$6:$AN$238,33,FALSE)</f>
        <v>0</v>
      </c>
      <c r="AC215" s="41">
        <f>VLOOKUP(D215,[1]apoio_Preços_MGS!$A$6:$AN$238,34,FALSE)</f>
        <v>0</v>
      </c>
      <c r="AD215" s="40">
        <f>(U215+W215+Z215+AB215+AA215+VLOOKUP(C215,[1]apoio_Prec_Folha!$A:$S,7,FALSE))*AC215</f>
        <v>0</v>
      </c>
      <c r="AE215" s="42">
        <f>VLOOKUP(D215,[1]apoio_Preços_MGS!$A$6:$AN$238,36,FALSE)</f>
        <v>7.0000000000000007E-2</v>
      </c>
      <c r="AF215" s="40">
        <f>(U215+W215+Z215+AB215+AD215+AA215+VLOOKUP(C215,[1]apoio_Prec_Folha!$A:$S,7,FALSE))*AE215</f>
        <v>502.9046184245999</v>
      </c>
      <c r="AG215" s="40">
        <f t="shared" si="79"/>
        <v>7135.67</v>
      </c>
      <c r="AH215" s="43">
        <f t="shared" si="80"/>
        <v>8321.4699999999993</v>
      </c>
      <c r="AI215" s="43">
        <f t="shared" si="81"/>
        <v>33285.879999999997</v>
      </c>
      <c r="AJ215" s="43">
        <f t="shared" si="82"/>
        <v>1864009.2799999998</v>
      </c>
      <c r="AK215" s="44">
        <f>VLOOKUP(D215,[1]apoio_Preços_MGS!$A$6:$AN$238,39,FALSE)</f>
        <v>181.81818181818184</v>
      </c>
      <c r="AL215" s="44">
        <f>IF(J215="demais municípios",VLOOKUP(D215,[1]apoio_Preços_MGS!$A$6:$AN$238,39,FALSE),0)</f>
        <v>181.81818181818184</v>
      </c>
      <c r="AM215" s="44">
        <v>0</v>
      </c>
      <c r="AN215" s="45">
        <f t="shared" si="99"/>
        <v>727.27272727272737</v>
      </c>
      <c r="AO215" s="44">
        <f>VLOOKUP(D215,[1]apoio_Preços_MGS!$A$6:$AN$238,40,FALSE)</f>
        <v>551.58000000000004</v>
      </c>
      <c r="AP215" s="44">
        <f>IF(J215="demais municípios",VLOOKUP(D215,[1]apoio_Preços_MGS!$A$6:$AN$238,40,FALSE),0)</f>
        <v>551.58000000000004</v>
      </c>
      <c r="AQ215" s="44">
        <v>0</v>
      </c>
      <c r="AR215" s="45">
        <f t="shared" si="100"/>
        <v>2206.3200000000002</v>
      </c>
      <c r="AS215" s="45">
        <f t="shared" si="91"/>
        <v>2933.5927272727276</v>
      </c>
      <c r="AT215" s="45">
        <f t="shared" si="92"/>
        <v>176015.56363636366</v>
      </c>
      <c r="AU215" s="62"/>
      <c r="AV215" s="46"/>
      <c r="AW215" s="47"/>
      <c r="AX215" s="48"/>
      <c r="AY215" s="49"/>
      <c r="BA215" s="48"/>
    </row>
    <row r="216" spans="1:53" ht="19.5" customHeight="1" x14ac:dyDescent="0.25">
      <c r="A216" s="33" t="str">
        <f t="shared" si="87"/>
        <v>146242400,05</v>
      </c>
      <c r="B216" s="33" t="str">
        <f t="shared" si="88"/>
        <v>19050,05</v>
      </c>
      <c r="C216" s="34" t="str">
        <f>VLOOKUP(D216,[1]apoio_Preços_MGS!$A$6:$B$238,2,FALSE)</f>
        <v>OPERADOR DE BARRAGEM</v>
      </c>
      <c r="D216" s="35">
        <v>1905</v>
      </c>
      <c r="E216" s="33" t="str">
        <f>VLOOKUP(D216,[1]apoio_Preços_MGS!$A$6:$F$238,6,FALSE)</f>
        <v>OPERADOR DE BARRAGEM - DIARISTA DIURNO - 40H</v>
      </c>
      <c r="F216" s="36">
        <f>IFERROR(VLOOKUP(D216,'[1]apoio_cód catmas'!$B$2:$C$863,2,FALSE),0)</f>
        <v>146242</v>
      </c>
      <c r="G216" s="33" t="str">
        <f>IF(H216="N/A",VLOOKUP(F216&amp;40,'[1]apoio_cód catmas'!$A$1:$G$233,4,FALSE),VLOOKUP(F216&amp;H216,'[1]apoio_cód catmas'!$A$1:$G$233,4,FALSE))</f>
        <v>OPERADOR DE BARRAGEM - 40H OU 44H</v>
      </c>
      <c r="H216" s="36">
        <v>40</v>
      </c>
      <c r="I216" s="37">
        <v>0.05</v>
      </c>
      <c r="J216" s="38" t="s">
        <v>46</v>
      </c>
      <c r="K216" s="39">
        <v>2</v>
      </c>
      <c r="L216" s="39">
        <f t="shared" si="77"/>
        <v>120</v>
      </c>
      <c r="M216" s="40">
        <f>VLOOKUP(D216,[1]apoio_Preços_MGS!$A$6:$AN$238,18,FALSE)</f>
        <v>3644.5402499999991</v>
      </c>
      <c r="N216" s="40">
        <f>VLOOKUP(D216,[1]apoio_Preços_MGS!$A$6:$AN$238,19,FALSE)</f>
        <v>0</v>
      </c>
      <c r="O216" s="40">
        <f>VLOOKUP(D216,[1]apoio_Preços_MGS!$A$6:$AN$238,20,FALSE)</f>
        <v>0</v>
      </c>
      <c r="P216" s="40">
        <f>VLOOKUP(D216,[1]apoio_Preços_MGS!$A$6:$AN$238,21,FALSE)</f>
        <v>0</v>
      </c>
      <c r="Q216" s="40">
        <f>VLOOKUP(D216,[1]apoio_Preços_MGS!$A$6:$AN$238,22,FALSE)</f>
        <v>0</v>
      </c>
      <c r="R216" s="40">
        <f>VLOOKUP(D216,[1]apoio_Preços_MGS!$A$6:$AN$238,23,FALSE)</f>
        <v>0</v>
      </c>
      <c r="S216" s="40">
        <f>VLOOKUP(D216,[1]apoio_Preços_MGS!$A$6:$AN$238,24,FALSE)</f>
        <v>0</v>
      </c>
      <c r="T216" s="40">
        <f>VLOOKUP(D216,[1]apoio_Preços_MGS!$A$6:$AN$238,25,FALSE)</f>
        <v>0</v>
      </c>
      <c r="U216" s="40">
        <f t="shared" si="75"/>
        <v>3644.5402499999991</v>
      </c>
      <c r="V216" s="41">
        <v>0.81799999999999995</v>
      </c>
      <c r="W216" s="40">
        <f t="shared" si="76"/>
        <v>2981.2339244999989</v>
      </c>
      <c r="X216" s="40">
        <f>VLOOKUP(D216,[1]apoio_Preços_MGS!$A$6:$AN$238,29,FALSE)</f>
        <v>0</v>
      </c>
      <c r="Y216" s="40">
        <f>VLOOKUP(D216,[1]apoio_Preços_MGS!$A$6:$AN$238,30,FALSE)</f>
        <v>0</v>
      </c>
      <c r="Z216" s="40">
        <f t="shared" si="78"/>
        <v>0</v>
      </c>
      <c r="AA216" s="40">
        <f>VLOOKUP(D216,[1]apoio_Preços_MGS!$A$6:$AN$238,32,FALSE)</f>
        <v>6.9975172799999976</v>
      </c>
      <c r="AB216" s="40">
        <f>VLOOKUP(D216,[1]apoio_Preços_MGS!$A$6:$AN$238,33,FALSE)</f>
        <v>0</v>
      </c>
      <c r="AC216" s="41">
        <f>VLOOKUP(D216,[1]apoio_Preços_MGS!$A$6:$AN$238,34,FALSE)</f>
        <v>0</v>
      </c>
      <c r="AD216" s="40">
        <f>(U216+W216+Z216+AB216+AA216+VLOOKUP(C216,[1]apoio_Prec_Folha!$A:$S,7,FALSE))*AC216</f>
        <v>0</v>
      </c>
      <c r="AE216" s="42">
        <f>VLOOKUP(D216,[1]apoio_Preços_MGS!$A$6:$AN$238,36,FALSE)</f>
        <v>7.0000000000000007E-2</v>
      </c>
      <c r="AF216" s="40">
        <f>(U216+W216+Z216+AB216+AD216+AA216+VLOOKUP(C216,[1]apoio_Prec_Folha!$A:$S,7,FALSE))*AE216</f>
        <v>502.9046184245999</v>
      </c>
      <c r="AG216" s="40">
        <f t="shared" si="79"/>
        <v>7135.67</v>
      </c>
      <c r="AH216" s="43">
        <f t="shared" si="80"/>
        <v>8321.4699999999993</v>
      </c>
      <c r="AI216" s="43">
        <f t="shared" si="81"/>
        <v>16642.939999999999</v>
      </c>
      <c r="AJ216" s="43">
        <f t="shared" si="82"/>
        <v>998576.39999999991</v>
      </c>
      <c r="AK216" s="44">
        <f>VLOOKUP(D216,[1]apoio_Preços_MGS!$A$6:$AN$238,39,FALSE)</f>
        <v>181.81818181818184</v>
      </c>
      <c r="AL216" s="44">
        <f>IF(J216="demais municípios",VLOOKUP(D216,[1]apoio_Preços_MGS!$A$6:$AN$238,39,FALSE),0)</f>
        <v>181.81818181818184</v>
      </c>
      <c r="AM216" s="44">
        <v>0</v>
      </c>
      <c r="AN216" s="45">
        <f t="shared" si="99"/>
        <v>363.63636363636368</v>
      </c>
      <c r="AO216" s="44">
        <f>VLOOKUP(D216,[1]apoio_Preços_MGS!$A$6:$AN$238,40,FALSE)</f>
        <v>551.58000000000004</v>
      </c>
      <c r="AP216" s="44">
        <f>IF(J216="demais municípios",VLOOKUP(D216,[1]apoio_Preços_MGS!$A$6:$AN$238,40,FALSE),0)</f>
        <v>551.58000000000004</v>
      </c>
      <c r="AQ216" s="44">
        <v>0</v>
      </c>
      <c r="AR216" s="45">
        <f t="shared" si="100"/>
        <v>1103.1600000000001</v>
      </c>
      <c r="AS216" s="45">
        <f t="shared" si="91"/>
        <v>1466.7963636363638</v>
      </c>
      <c r="AT216" s="45">
        <f t="shared" si="92"/>
        <v>88007.781818181829</v>
      </c>
      <c r="AU216" s="62"/>
      <c r="AV216" s="46"/>
      <c r="AW216" s="47"/>
      <c r="AX216" s="48"/>
      <c r="AY216" s="49"/>
      <c r="BA216" s="48"/>
    </row>
    <row r="217" spans="1:53" ht="19.5" customHeight="1" x14ac:dyDescent="0.25">
      <c r="A217" s="33" t="str">
        <f t="shared" si="87"/>
        <v>106097440,03</v>
      </c>
      <c r="B217" s="33" t="str">
        <f t="shared" si="88"/>
        <v>1340,03</v>
      </c>
      <c r="C217" s="34" t="str">
        <f>VLOOKUP(D217,[1]apoio_Preços_MGS!$A$6:$B$238,2,FALSE)</f>
        <v>BOMBEIRO HIDRÁULICO</v>
      </c>
      <c r="D217" s="35">
        <v>134</v>
      </c>
      <c r="E217" s="33" t="str">
        <f>VLOOKUP(D217,[1]apoio_Preços_MGS!$A$6:$F$238,6,FALSE)</f>
        <v>BOMBEIRO HIDRÁULICO - 12x36 DIURNO - 44H</v>
      </c>
      <c r="F217" s="36">
        <f>IFERROR(VLOOKUP(D217,'[1]apoio_cód catmas'!$B$2:$C$863,2,FALSE),0)</f>
        <v>106097</v>
      </c>
      <c r="G217" s="33" t="str">
        <f>IF(H217="N/A",VLOOKUP(F217&amp;40,'[1]apoio_cód catmas'!$A$1:$G$233,4,FALSE),VLOOKUP(F217&amp;H217,'[1]apoio_cód catmas'!$A$1:$G$233,4,FALSE))</f>
        <v>BOMBEIRO HIDRAULICO - 12X36 DIURNO - 44H</v>
      </c>
      <c r="H217" s="36">
        <v>44</v>
      </c>
      <c r="I217" s="37">
        <v>0.03</v>
      </c>
      <c r="J217" s="38" t="s">
        <v>46</v>
      </c>
      <c r="K217" s="39">
        <v>2</v>
      </c>
      <c r="L217" s="39">
        <f t="shared" si="77"/>
        <v>120</v>
      </c>
      <c r="M217" s="40">
        <f>VLOOKUP(D217,[1]apoio_Preços_MGS!$A$6:$AN$238,18,FALSE)</f>
        <v>2830.8276262195141</v>
      </c>
      <c r="N217" s="40">
        <f>VLOOKUP(D217,[1]apoio_Preços_MGS!$A$6:$AN$238,19,FALSE)</f>
        <v>0</v>
      </c>
      <c r="O217" s="40">
        <f>VLOOKUP(D217,[1]apoio_Preços_MGS!$A$6:$AN$238,20,FALSE)</f>
        <v>0</v>
      </c>
      <c r="P217" s="40">
        <f>VLOOKUP(D217,[1]apoio_Preços_MGS!$A$6:$AN$238,21,FALSE)</f>
        <v>0</v>
      </c>
      <c r="Q217" s="40">
        <f>VLOOKUP(D217,[1]apoio_Preços_MGS!$A$6:$AN$238,22,FALSE)</f>
        <v>0</v>
      </c>
      <c r="R217" s="40">
        <f>VLOOKUP(D217,[1]apoio_Preços_MGS!$A$6:$AN$238,23,FALSE)</f>
        <v>0</v>
      </c>
      <c r="S217" s="40">
        <f>VLOOKUP(D217,[1]apoio_Preços_MGS!$A$6:$AN$238,24,FALSE)</f>
        <v>0</v>
      </c>
      <c r="T217" s="40">
        <f>VLOOKUP(D217,[1]apoio_Preços_MGS!$A$6:$AN$238,25,FALSE)</f>
        <v>3.9317050364159916</v>
      </c>
      <c r="U217" s="40">
        <f t="shared" si="75"/>
        <v>2834.7593312559302</v>
      </c>
      <c r="V217" s="41">
        <v>0.81799999999999995</v>
      </c>
      <c r="W217" s="40">
        <f t="shared" si="76"/>
        <v>2318.8331329673506</v>
      </c>
      <c r="X217" s="40">
        <f>VLOOKUP(D217,[1]apoio_Preços_MGS!$A$6:$AN$238,29,FALSE)</f>
        <v>19.18</v>
      </c>
      <c r="Y217" s="40">
        <f>VLOOKUP(D217,[1]apoio_Preços_MGS!$A$6:$AN$238,30,FALSE)</f>
        <v>53.397831978319772</v>
      </c>
      <c r="Z217" s="40">
        <f t="shared" si="78"/>
        <v>72.577831978319779</v>
      </c>
      <c r="AA217" s="40">
        <f>VLOOKUP(D217,[1]apoio_Preços_MGS!$A$6:$AN$238,32,FALSE)</f>
        <v>5.4351890423414666</v>
      </c>
      <c r="AB217" s="40">
        <f>VLOOKUP(D217,[1]apoio_Preços_MGS!$A$6:$AN$238,33,FALSE)</f>
        <v>187.48959024390248</v>
      </c>
      <c r="AC217" s="41">
        <f>VLOOKUP(D217,[1]apoio_Preços_MGS!$A$6:$AN$238,34,FALSE)</f>
        <v>3.283403000675289E-2</v>
      </c>
      <c r="AD217" s="40">
        <f>(U217+W217+Z217+AB217+AA217+VLOOKUP(C217,[1]apoio_Prec_Folha!$A:$S,7,FALSE))*AC217</f>
        <v>195.93350083791725</v>
      </c>
      <c r="AE217" s="42">
        <f>VLOOKUP(D217,[1]apoio_Preços_MGS!$A$6:$AN$238,36,FALSE)</f>
        <v>7.0000000000000007E-2</v>
      </c>
      <c r="AF217" s="40">
        <f>(U217+W217+Z217+AB217+AD217+AA217+VLOOKUP(C217,[1]apoio_Prec_Folha!$A:$S,7,FALSE))*AE217</f>
        <v>431.43272717207162</v>
      </c>
      <c r="AG217" s="40">
        <f t="shared" si="79"/>
        <v>6046.46</v>
      </c>
      <c r="AH217" s="43">
        <f t="shared" si="80"/>
        <v>6890.54</v>
      </c>
      <c r="AI217" s="43">
        <f t="shared" si="81"/>
        <v>13781.08</v>
      </c>
      <c r="AJ217" s="43">
        <f t="shared" si="82"/>
        <v>826864.8</v>
      </c>
      <c r="AK217" s="44">
        <f>VLOOKUP(D217,[1]apoio_Preços_MGS!$A$6:$AN$238,39,FALSE)</f>
        <v>200.00000000000003</v>
      </c>
      <c r="AL217" s="44">
        <f>IF(J217="demais municípios",VLOOKUP(D217,[1]apoio_Preços_MGS!$A$6:$AN$238,39,FALSE),0)</f>
        <v>200.00000000000003</v>
      </c>
      <c r="AM217" s="44">
        <v>0</v>
      </c>
      <c r="AN217" s="45">
        <f t="shared" si="99"/>
        <v>400.00000000000006</v>
      </c>
      <c r="AO217" s="44">
        <f>VLOOKUP(D217,[1]apoio_Preços_MGS!$A$6:$AN$238,40,FALSE)</f>
        <v>548.29</v>
      </c>
      <c r="AP217" s="44">
        <f>IF(J217="demais municípios",VLOOKUP(D217,[1]apoio_Preços_MGS!$A$6:$AN$238,40,FALSE),0)</f>
        <v>548.29</v>
      </c>
      <c r="AQ217" s="44">
        <v>0</v>
      </c>
      <c r="AR217" s="45">
        <f t="shared" si="100"/>
        <v>1096.58</v>
      </c>
      <c r="AS217" s="45">
        <f t="shared" si="91"/>
        <v>1496.58</v>
      </c>
      <c r="AT217" s="45">
        <f t="shared" si="92"/>
        <v>89794.799999999988</v>
      </c>
      <c r="AU217" s="62"/>
      <c r="AV217" s="46"/>
      <c r="AW217" s="47"/>
      <c r="AX217" s="48"/>
      <c r="AY217" s="49"/>
      <c r="BA217" s="48"/>
    </row>
    <row r="218" spans="1:53" ht="19.5" customHeight="1" x14ac:dyDescent="0.25">
      <c r="A218" s="33" t="str">
        <f t="shared" si="87"/>
        <v>106097440,05</v>
      </c>
      <c r="B218" s="33" t="str">
        <f t="shared" si="88"/>
        <v>1340,05</v>
      </c>
      <c r="C218" s="34" t="str">
        <f>VLOOKUP(D218,[1]apoio_Preços_MGS!$A$6:$B$238,2,FALSE)</f>
        <v>BOMBEIRO HIDRÁULICO</v>
      </c>
      <c r="D218" s="35">
        <v>134</v>
      </c>
      <c r="E218" s="33" t="str">
        <f>VLOOKUP(D218,[1]apoio_Preços_MGS!$A$6:$F$238,6,FALSE)</f>
        <v>BOMBEIRO HIDRÁULICO - 12x36 DIURNO - 44H</v>
      </c>
      <c r="F218" s="36">
        <f>IFERROR(VLOOKUP(D218,'[1]apoio_cód catmas'!$B$2:$C$863,2,FALSE),0)</f>
        <v>106097</v>
      </c>
      <c r="G218" s="33" t="str">
        <f>IF(H218="N/A",VLOOKUP(F218&amp;40,'[1]apoio_cód catmas'!$A$1:$G$233,4,FALSE),VLOOKUP(F218&amp;H218,'[1]apoio_cód catmas'!$A$1:$G$233,4,FALSE))</f>
        <v>BOMBEIRO HIDRAULICO - 12X36 DIURNO - 44H</v>
      </c>
      <c r="H218" s="36">
        <v>44</v>
      </c>
      <c r="I218" s="37">
        <v>0.05</v>
      </c>
      <c r="J218" s="38" t="s">
        <v>47</v>
      </c>
      <c r="K218" s="39">
        <v>2</v>
      </c>
      <c r="L218" s="39">
        <f t="shared" si="77"/>
        <v>120</v>
      </c>
      <c r="M218" s="40">
        <f>VLOOKUP(D218,[1]apoio_Preços_MGS!$A$6:$AN$238,18,FALSE)</f>
        <v>2830.8276262195141</v>
      </c>
      <c r="N218" s="40">
        <f>VLOOKUP(D218,[1]apoio_Preços_MGS!$A$6:$AN$238,19,FALSE)</f>
        <v>0</v>
      </c>
      <c r="O218" s="40">
        <f>VLOOKUP(D218,[1]apoio_Preços_MGS!$A$6:$AN$238,20,FALSE)</f>
        <v>0</v>
      </c>
      <c r="P218" s="40">
        <f>VLOOKUP(D218,[1]apoio_Preços_MGS!$A$6:$AN$238,21,FALSE)</f>
        <v>0</v>
      </c>
      <c r="Q218" s="40">
        <f>VLOOKUP(D218,[1]apoio_Preços_MGS!$A$6:$AN$238,22,FALSE)</f>
        <v>0</v>
      </c>
      <c r="R218" s="40">
        <f>VLOOKUP(D218,[1]apoio_Preços_MGS!$A$6:$AN$238,23,FALSE)</f>
        <v>0</v>
      </c>
      <c r="S218" s="40">
        <f>VLOOKUP(D218,[1]apoio_Preços_MGS!$A$6:$AN$238,24,FALSE)</f>
        <v>0</v>
      </c>
      <c r="T218" s="40">
        <f>VLOOKUP(D218,[1]apoio_Preços_MGS!$A$6:$AN$238,25,FALSE)</f>
        <v>3.9317050364159916</v>
      </c>
      <c r="U218" s="40">
        <f t="shared" si="75"/>
        <v>2834.7593312559302</v>
      </c>
      <c r="V218" s="41">
        <v>0.81799999999999995</v>
      </c>
      <c r="W218" s="40">
        <f t="shared" si="76"/>
        <v>2318.8331329673506</v>
      </c>
      <c r="X218" s="40">
        <f>VLOOKUP(D218,[1]apoio_Preços_MGS!$A$6:$AN$238,29,FALSE)</f>
        <v>19.18</v>
      </c>
      <c r="Y218" s="40">
        <f>VLOOKUP(D218,[1]apoio_Preços_MGS!$A$6:$AN$238,30,FALSE)</f>
        <v>53.397831978319772</v>
      </c>
      <c r="Z218" s="40">
        <f t="shared" si="78"/>
        <v>72.577831978319779</v>
      </c>
      <c r="AA218" s="40">
        <f>VLOOKUP(D218,[1]apoio_Preços_MGS!$A$6:$AN$238,32,FALSE)</f>
        <v>5.4351890423414666</v>
      </c>
      <c r="AB218" s="40">
        <f>VLOOKUP(D218,[1]apoio_Preços_MGS!$A$6:$AN$238,33,FALSE)</f>
        <v>187.48959024390248</v>
      </c>
      <c r="AC218" s="41">
        <f>VLOOKUP(D218,[1]apoio_Preços_MGS!$A$6:$AN$238,34,FALSE)</f>
        <v>3.283403000675289E-2</v>
      </c>
      <c r="AD218" s="40">
        <f>(U218+W218+Z218+AB218+AA218+VLOOKUP(C218,[1]apoio_Prec_Folha!$A:$S,7,FALSE))*AC218</f>
        <v>195.93350083791725</v>
      </c>
      <c r="AE218" s="42">
        <f>VLOOKUP(D218,[1]apoio_Preços_MGS!$A$6:$AN$238,36,FALSE)</f>
        <v>7.0000000000000007E-2</v>
      </c>
      <c r="AF218" s="40">
        <f>(U218+W218+Z218+AB218+AD218+AA218+VLOOKUP(C218,[1]apoio_Prec_Folha!$A:$S,7,FALSE))*AE218</f>
        <v>431.43272717207162</v>
      </c>
      <c r="AG218" s="40">
        <f t="shared" si="79"/>
        <v>6046.46</v>
      </c>
      <c r="AH218" s="43">
        <f t="shared" si="80"/>
        <v>7051.26</v>
      </c>
      <c r="AI218" s="43">
        <f t="shared" si="81"/>
        <v>14102.52</v>
      </c>
      <c r="AJ218" s="43">
        <f t="shared" si="82"/>
        <v>846151.20000000007</v>
      </c>
      <c r="AK218" s="44">
        <f>VLOOKUP(D218,[1]apoio_Preços_MGS!$A$6:$AN$238,39,FALSE)</f>
        <v>200.00000000000003</v>
      </c>
      <c r="AL218" s="44">
        <f>IF(J218="demais municípios",VLOOKUP(D218,[1]apoio_Preços_MGS!$A$6:$AN$238,39,FALSE),0)</f>
        <v>0</v>
      </c>
      <c r="AM218" s="44">
        <f>TRUNC(ROUND(($I218)/(1-($I218)),5)*VLOOKUP(D218,[1]apoio_Preços_MGS!$A$6:$AN$238,39,FALSE)+VLOOKUP(D218,[1]apoio_Preços_MGS!$A$6:$AN$238,39,FALSE),2)</f>
        <v>210.52</v>
      </c>
      <c r="AN218" s="45">
        <f t="shared" si="93"/>
        <v>421.04</v>
      </c>
      <c r="AO218" s="44">
        <f>VLOOKUP(D218,[1]apoio_Preços_MGS!$A$6:$AN$238,40,FALSE)</f>
        <v>548.29</v>
      </c>
      <c r="AP218" s="44">
        <f>IF(J218="demais municípios",VLOOKUP(D218,[1]apoio_Preços_MGS!$A$6:$AN$238,40,FALSE),0)</f>
        <v>0</v>
      </c>
      <c r="AQ218" s="44">
        <f>TRUNC(ROUND(($I218)/(1-($I218)),5)*VLOOKUP(D218,[1]apoio_Preços_MGS!$A$6:$AN$238,40,FALSE)+VLOOKUP(D218,[1]apoio_Preços_MGS!$A$6:$AN$238,40,FALSE),2)</f>
        <v>577.14</v>
      </c>
      <c r="AR218" s="45">
        <f t="shared" si="94"/>
        <v>1154.28</v>
      </c>
      <c r="AS218" s="45">
        <f t="shared" si="91"/>
        <v>1575.32</v>
      </c>
      <c r="AT218" s="45">
        <f t="shared" si="92"/>
        <v>94519.2</v>
      </c>
      <c r="AU218" s="62"/>
      <c r="AV218" s="46"/>
      <c r="AW218" s="47"/>
      <c r="AX218" s="48"/>
      <c r="AY218" s="49"/>
      <c r="BA218" s="48"/>
    </row>
    <row r="219" spans="1:53" ht="19.5" customHeight="1" x14ac:dyDescent="0.25">
      <c r="A219" s="33" t="str">
        <f t="shared" si="87"/>
        <v>106100440,03</v>
      </c>
      <c r="B219" s="33" t="str">
        <f t="shared" si="88"/>
        <v>1360,03</v>
      </c>
      <c r="C219" s="34" t="str">
        <f>VLOOKUP(D219,[1]apoio_Preços_MGS!$A$6:$B$238,2,FALSE)</f>
        <v>BOMBEIRO HIDRÁULICO</v>
      </c>
      <c r="D219" s="35">
        <v>136</v>
      </c>
      <c r="E219" s="33" t="str">
        <f>VLOOKUP(D219,[1]apoio_Preços_MGS!$A$6:$F$238,6,FALSE)</f>
        <v>BOMBEIRO HIDRÁULICO - (PERIC.) - 12x36 DIURNO - 44H</v>
      </c>
      <c r="F219" s="36">
        <f>IFERROR(VLOOKUP(D219,'[1]apoio_cód catmas'!$B$2:$C$863,2,FALSE),0)</f>
        <v>106100</v>
      </c>
      <c r="G219" s="33" t="str">
        <f>IF(H219="N/A",VLOOKUP(F219&amp;40,'[1]apoio_cód catmas'!$A$1:$G$233,4,FALSE),VLOOKUP(F219&amp;H219,'[1]apoio_cód catmas'!$A$1:$G$233,4,FALSE))</f>
        <v>BOMBEIRO HIDRAULICO - 12X36 DIURNO (PERICULOSIDADE) - 44H</v>
      </c>
      <c r="H219" s="36">
        <v>44</v>
      </c>
      <c r="I219" s="37">
        <v>0.03</v>
      </c>
      <c r="J219" s="38" t="s">
        <v>46</v>
      </c>
      <c r="K219" s="39">
        <v>1</v>
      </c>
      <c r="L219" s="39">
        <f t="shared" si="77"/>
        <v>60</v>
      </c>
      <c r="M219" s="40">
        <f>VLOOKUP(D219,[1]apoio_Preços_MGS!$A$6:$AN$238,18,FALSE)</f>
        <v>2830.8276262195141</v>
      </c>
      <c r="N219" s="40">
        <f>VLOOKUP(D219,[1]apoio_Preços_MGS!$A$6:$AN$238,19,FALSE)</f>
        <v>849.24828786585419</v>
      </c>
      <c r="O219" s="40">
        <f>VLOOKUP(D219,[1]apoio_Preços_MGS!$A$6:$AN$238,20,FALSE)</f>
        <v>0</v>
      </c>
      <c r="P219" s="40">
        <f>VLOOKUP(D219,[1]apoio_Preços_MGS!$A$6:$AN$238,21,FALSE)</f>
        <v>0</v>
      </c>
      <c r="Q219" s="40">
        <f>VLOOKUP(D219,[1]apoio_Preços_MGS!$A$6:$AN$238,22,FALSE)</f>
        <v>0</v>
      </c>
      <c r="R219" s="40">
        <f>VLOOKUP(D219,[1]apoio_Preços_MGS!$A$6:$AN$238,23,FALSE)</f>
        <v>0</v>
      </c>
      <c r="S219" s="40">
        <f>VLOOKUP(D219,[1]apoio_Preços_MGS!$A$6:$AN$238,24,FALSE)</f>
        <v>0</v>
      </c>
      <c r="T219" s="40">
        <f>VLOOKUP(D219,[1]apoio_Preços_MGS!$A$6:$AN$238,25,FALSE)</f>
        <v>5.1112165473407893</v>
      </c>
      <c r="U219" s="40">
        <f t="shared" si="75"/>
        <v>3685.1871306327093</v>
      </c>
      <c r="V219" s="41">
        <v>0.81799999999999995</v>
      </c>
      <c r="W219" s="40">
        <f t="shared" si="76"/>
        <v>3014.4830728575562</v>
      </c>
      <c r="X219" s="40">
        <f>VLOOKUP(D219,[1]apoio_Preços_MGS!$A$6:$AN$238,29,FALSE)</f>
        <v>19.18</v>
      </c>
      <c r="Y219" s="40">
        <f>VLOOKUP(D219,[1]apoio_Preços_MGS!$A$6:$AN$238,30,FALSE)</f>
        <v>53.397831978319772</v>
      </c>
      <c r="Z219" s="40">
        <f t="shared" si="78"/>
        <v>72.577831978319779</v>
      </c>
      <c r="AA219" s="40">
        <f>VLOOKUP(D219,[1]apoio_Preços_MGS!$A$6:$AN$238,32,FALSE)</f>
        <v>5.4351890423414666</v>
      </c>
      <c r="AB219" s="40">
        <f>VLOOKUP(D219,[1]apoio_Preços_MGS!$A$6:$AN$238,33,FALSE)</f>
        <v>187.48959024390248</v>
      </c>
      <c r="AC219" s="41">
        <f>VLOOKUP(D219,[1]apoio_Preços_MGS!$A$6:$AN$238,34,FALSE)</f>
        <v>3.283403000675289E-2</v>
      </c>
      <c r="AD219" s="40">
        <f>(U219+W219+Z219+AB219+AA219+VLOOKUP(C219,[1]apoio_Prec_Folha!$A:$S,7,FALSE))*AC219</f>
        <v>246.6974637217821</v>
      </c>
      <c r="AE219" s="42">
        <f>VLOOKUP(D219,[1]apoio_Preços_MGS!$A$6:$AN$238,36,FALSE)</f>
        <v>7.0000000000000007E-2</v>
      </c>
      <c r="AF219" s="40">
        <f>(U219+W219+Z219+AB219+AD219+AA219+VLOOKUP(C219,[1]apoio_Prec_Folha!$A:$S,7,FALSE))*AE219</f>
        <v>543.21164632263105</v>
      </c>
      <c r="AG219" s="40">
        <f t="shared" si="79"/>
        <v>7755.08</v>
      </c>
      <c r="AH219" s="43">
        <f t="shared" si="80"/>
        <v>8837.68</v>
      </c>
      <c r="AI219" s="43">
        <f t="shared" si="81"/>
        <v>8837.68</v>
      </c>
      <c r="AJ219" s="43">
        <f t="shared" si="82"/>
        <v>530260.80000000005</v>
      </c>
      <c r="AK219" s="44">
        <f>VLOOKUP(D219,[1]apoio_Preços_MGS!$A$6:$AN$238,39,FALSE)</f>
        <v>200.00000000000003</v>
      </c>
      <c r="AL219" s="44">
        <f>IF(J219="demais municípios",VLOOKUP(D219,[1]apoio_Preços_MGS!$A$6:$AN$238,39,FALSE),0)</f>
        <v>200.00000000000003</v>
      </c>
      <c r="AM219" s="44">
        <v>0</v>
      </c>
      <c r="AN219" s="45">
        <f>AK219*K219</f>
        <v>200.00000000000003</v>
      </c>
      <c r="AO219" s="44">
        <f>VLOOKUP(D219,[1]apoio_Preços_MGS!$A$6:$AN$238,40,FALSE)</f>
        <v>548.29</v>
      </c>
      <c r="AP219" s="44">
        <f>IF(J219="demais municípios",VLOOKUP(D219,[1]apoio_Preços_MGS!$A$6:$AN$238,40,FALSE),0)</f>
        <v>548.29</v>
      </c>
      <c r="AQ219" s="44">
        <v>0</v>
      </c>
      <c r="AR219" s="45">
        <f>AO219*K219</f>
        <v>548.29</v>
      </c>
      <c r="AS219" s="45">
        <f t="shared" si="91"/>
        <v>748.29</v>
      </c>
      <c r="AT219" s="45">
        <f t="shared" si="92"/>
        <v>44897.399999999994</v>
      </c>
      <c r="AU219" s="62"/>
      <c r="AV219" s="46"/>
      <c r="AW219" s="47"/>
      <c r="AX219" s="48"/>
      <c r="AY219" s="49"/>
      <c r="BA219" s="48"/>
    </row>
    <row r="220" spans="1:53" ht="19.5" customHeight="1" x14ac:dyDescent="0.25">
      <c r="A220" s="33" t="str">
        <f t="shared" si="87"/>
        <v>106100440,05</v>
      </c>
      <c r="B220" s="33" t="str">
        <f t="shared" si="88"/>
        <v>1360,05</v>
      </c>
      <c r="C220" s="34" t="str">
        <f>VLOOKUP(D220,[1]apoio_Preços_MGS!$A$6:$B$238,2,FALSE)</f>
        <v>BOMBEIRO HIDRÁULICO</v>
      </c>
      <c r="D220" s="35">
        <v>136</v>
      </c>
      <c r="E220" s="33" t="str">
        <f>VLOOKUP(D220,[1]apoio_Preços_MGS!$A$6:$F$238,6,FALSE)</f>
        <v>BOMBEIRO HIDRÁULICO - (PERIC.) - 12x36 DIURNO - 44H</v>
      </c>
      <c r="F220" s="36">
        <f>IFERROR(VLOOKUP(D220,'[1]apoio_cód catmas'!$B$2:$C$863,2,FALSE),0)</f>
        <v>106100</v>
      </c>
      <c r="G220" s="33" t="str">
        <f>IF(H220="N/A",VLOOKUP(F220&amp;40,'[1]apoio_cód catmas'!$A$1:$G$233,4,FALSE),VLOOKUP(F220&amp;H220,'[1]apoio_cód catmas'!$A$1:$G$233,4,FALSE))</f>
        <v>BOMBEIRO HIDRAULICO - 12X36 DIURNO (PERICULOSIDADE) - 44H</v>
      </c>
      <c r="H220" s="36">
        <v>44</v>
      </c>
      <c r="I220" s="37">
        <v>0.05</v>
      </c>
      <c r="J220" s="38" t="s">
        <v>47</v>
      </c>
      <c r="K220" s="39">
        <v>11</v>
      </c>
      <c r="L220" s="39">
        <f t="shared" si="77"/>
        <v>660</v>
      </c>
      <c r="M220" s="40">
        <f>VLOOKUP(D220,[1]apoio_Preços_MGS!$A$6:$AN$238,18,FALSE)</f>
        <v>2830.8276262195141</v>
      </c>
      <c r="N220" s="40">
        <f>VLOOKUP(D220,[1]apoio_Preços_MGS!$A$6:$AN$238,19,FALSE)</f>
        <v>849.24828786585419</v>
      </c>
      <c r="O220" s="40">
        <f>VLOOKUP(D220,[1]apoio_Preços_MGS!$A$6:$AN$238,20,FALSE)</f>
        <v>0</v>
      </c>
      <c r="P220" s="40">
        <f>VLOOKUP(D220,[1]apoio_Preços_MGS!$A$6:$AN$238,21,FALSE)</f>
        <v>0</v>
      </c>
      <c r="Q220" s="40">
        <f>VLOOKUP(D220,[1]apoio_Preços_MGS!$A$6:$AN$238,22,FALSE)</f>
        <v>0</v>
      </c>
      <c r="R220" s="40">
        <f>VLOOKUP(D220,[1]apoio_Preços_MGS!$A$6:$AN$238,23,FALSE)</f>
        <v>0</v>
      </c>
      <c r="S220" s="40">
        <f>VLOOKUP(D220,[1]apoio_Preços_MGS!$A$6:$AN$238,24,FALSE)</f>
        <v>0</v>
      </c>
      <c r="T220" s="40">
        <f>VLOOKUP(D220,[1]apoio_Preços_MGS!$A$6:$AN$238,25,FALSE)</f>
        <v>5.1112165473407893</v>
      </c>
      <c r="U220" s="40">
        <f t="shared" si="75"/>
        <v>3685.1871306327093</v>
      </c>
      <c r="V220" s="41">
        <v>0.81799999999999995</v>
      </c>
      <c r="W220" s="40">
        <f t="shared" si="76"/>
        <v>3014.4830728575562</v>
      </c>
      <c r="X220" s="40">
        <f>VLOOKUP(D220,[1]apoio_Preços_MGS!$A$6:$AN$238,29,FALSE)</f>
        <v>19.18</v>
      </c>
      <c r="Y220" s="40">
        <f>VLOOKUP(D220,[1]apoio_Preços_MGS!$A$6:$AN$238,30,FALSE)</f>
        <v>53.397831978319772</v>
      </c>
      <c r="Z220" s="40">
        <f t="shared" si="78"/>
        <v>72.577831978319779</v>
      </c>
      <c r="AA220" s="40">
        <f>VLOOKUP(D220,[1]apoio_Preços_MGS!$A$6:$AN$238,32,FALSE)</f>
        <v>5.4351890423414666</v>
      </c>
      <c r="AB220" s="40">
        <f>VLOOKUP(D220,[1]apoio_Preços_MGS!$A$6:$AN$238,33,FALSE)</f>
        <v>187.48959024390248</v>
      </c>
      <c r="AC220" s="41">
        <f>VLOOKUP(D220,[1]apoio_Preços_MGS!$A$6:$AN$238,34,FALSE)</f>
        <v>3.283403000675289E-2</v>
      </c>
      <c r="AD220" s="40">
        <f>(U220+W220+Z220+AB220+AA220+VLOOKUP(C220,[1]apoio_Prec_Folha!$A:$S,7,FALSE))*AC220</f>
        <v>246.6974637217821</v>
      </c>
      <c r="AE220" s="42">
        <f>VLOOKUP(D220,[1]apoio_Preços_MGS!$A$6:$AN$238,36,FALSE)</f>
        <v>7.0000000000000007E-2</v>
      </c>
      <c r="AF220" s="40">
        <f>(U220+W220+Z220+AB220+AD220+AA220+VLOOKUP(C220,[1]apoio_Prec_Folha!$A:$S,7,FALSE))*AE220</f>
        <v>543.21164632263105</v>
      </c>
      <c r="AG220" s="40">
        <f t="shared" si="79"/>
        <v>7755.08</v>
      </c>
      <c r="AH220" s="43">
        <f t="shared" si="80"/>
        <v>9043.81</v>
      </c>
      <c r="AI220" s="43">
        <f t="shared" si="81"/>
        <v>99481.909999999989</v>
      </c>
      <c r="AJ220" s="43">
        <f t="shared" si="82"/>
        <v>5968914.5999999996</v>
      </c>
      <c r="AK220" s="44">
        <f>VLOOKUP(D220,[1]apoio_Preços_MGS!$A$6:$AN$238,39,FALSE)</f>
        <v>200.00000000000003</v>
      </c>
      <c r="AL220" s="44">
        <f>IF(J220="demais municípios",VLOOKUP(D220,[1]apoio_Preços_MGS!$A$6:$AN$238,39,FALSE),0)</f>
        <v>0</v>
      </c>
      <c r="AM220" s="44">
        <f>TRUNC(ROUND(($I220)/(1-($I220)),5)*VLOOKUP(D220,[1]apoio_Preços_MGS!$A$6:$AN$238,39,FALSE)+VLOOKUP(D220,[1]apoio_Preços_MGS!$A$6:$AN$238,39,FALSE),2)</f>
        <v>210.52</v>
      </c>
      <c r="AN220" s="45">
        <f t="shared" si="93"/>
        <v>2315.7200000000003</v>
      </c>
      <c r="AO220" s="44">
        <f>VLOOKUP(D220,[1]apoio_Preços_MGS!$A$6:$AN$238,40,FALSE)</f>
        <v>548.29</v>
      </c>
      <c r="AP220" s="44">
        <f>IF(J220="demais municípios",VLOOKUP(D220,[1]apoio_Preços_MGS!$A$6:$AN$238,40,FALSE),0)</f>
        <v>0</v>
      </c>
      <c r="AQ220" s="44">
        <f>TRUNC(ROUND(($I220)/(1-($I220)),5)*VLOOKUP(D220,[1]apoio_Preços_MGS!$A$6:$AN$238,40,FALSE)+VLOOKUP(D220,[1]apoio_Preços_MGS!$A$6:$AN$238,40,FALSE),2)</f>
        <v>577.14</v>
      </c>
      <c r="AR220" s="45">
        <f t="shared" si="94"/>
        <v>6348.54</v>
      </c>
      <c r="AS220" s="45">
        <f t="shared" si="91"/>
        <v>8664.26</v>
      </c>
      <c r="AT220" s="45">
        <f t="shared" si="92"/>
        <v>519855.60000000003</v>
      </c>
      <c r="AU220" s="62"/>
      <c r="AV220" s="46"/>
      <c r="AW220" s="47"/>
      <c r="AX220" s="48"/>
      <c r="AY220" s="49"/>
      <c r="BA220" s="48"/>
    </row>
    <row r="221" spans="1:53" ht="19.5" customHeight="1" x14ac:dyDescent="0.25">
      <c r="A221" s="33" t="str">
        <f t="shared" si="87"/>
        <v>106119400,03</v>
      </c>
      <c r="B221" s="33" t="str">
        <f t="shared" si="88"/>
        <v>1330,03</v>
      </c>
      <c r="C221" s="34" t="str">
        <f>VLOOKUP(D221,[1]apoio_Preços_MGS!$A$6:$B$238,2,FALSE)</f>
        <v>BOMBEIRO HIDRÁULICO</v>
      </c>
      <c r="D221" s="35">
        <v>133</v>
      </c>
      <c r="E221" s="33" t="str">
        <f>VLOOKUP(D221,[1]apoio_Preços_MGS!$A$6:$F$238,6,FALSE)</f>
        <v>BOMBEIRO HIDRÁULICO - DIARISTA DIURNO - 40H</v>
      </c>
      <c r="F221" s="36">
        <f>IFERROR(VLOOKUP(D221,'[1]apoio_cód catmas'!$B$2:$C$863,2,FALSE),0)</f>
        <v>106119</v>
      </c>
      <c r="G221" s="33" t="str">
        <f>IF(H221="N/A",VLOOKUP(F221&amp;40,'[1]apoio_cód catmas'!$A$1:$G$233,4,FALSE),VLOOKUP(F221&amp;H221,'[1]apoio_cód catmas'!$A$1:$G$233,4,FALSE))</f>
        <v>BOMBEIRO HIDRAULICO - 40H OU 44H</v>
      </c>
      <c r="H221" s="36">
        <v>40</v>
      </c>
      <c r="I221" s="37">
        <v>0.03</v>
      </c>
      <c r="J221" s="38" t="s">
        <v>46</v>
      </c>
      <c r="K221" s="39">
        <v>4</v>
      </c>
      <c r="L221" s="39">
        <f t="shared" si="77"/>
        <v>240</v>
      </c>
      <c r="M221" s="40">
        <f>VLOOKUP(D221,[1]apoio_Preços_MGS!$A$6:$AN$238,18,FALSE)</f>
        <v>2573.4796601995586</v>
      </c>
      <c r="N221" s="40">
        <f>VLOOKUP(D221,[1]apoio_Preços_MGS!$A$6:$AN$238,19,FALSE)</f>
        <v>0</v>
      </c>
      <c r="O221" s="40">
        <f>VLOOKUP(D221,[1]apoio_Preços_MGS!$A$6:$AN$238,20,FALSE)</f>
        <v>0</v>
      </c>
      <c r="P221" s="40">
        <f>VLOOKUP(D221,[1]apoio_Preços_MGS!$A$6:$AN$238,21,FALSE)</f>
        <v>0</v>
      </c>
      <c r="Q221" s="40">
        <f>VLOOKUP(D221,[1]apoio_Preços_MGS!$A$6:$AN$238,22,FALSE)</f>
        <v>0</v>
      </c>
      <c r="R221" s="40">
        <f>VLOOKUP(D221,[1]apoio_Preços_MGS!$A$6:$AN$238,23,FALSE)</f>
        <v>0</v>
      </c>
      <c r="S221" s="40">
        <f>VLOOKUP(D221,[1]apoio_Preços_MGS!$A$6:$AN$238,24,FALSE)</f>
        <v>0</v>
      </c>
      <c r="T221" s="40">
        <f>VLOOKUP(D221,[1]apoio_Preços_MGS!$A$6:$AN$238,25,FALSE)</f>
        <v>0</v>
      </c>
      <c r="U221" s="40">
        <f t="shared" si="75"/>
        <v>2573.4796601995586</v>
      </c>
      <c r="V221" s="41">
        <v>0.81799999999999995</v>
      </c>
      <c r="W221" s="40">
        <f t="shared" si="76"/>
        <v>2105.1063620432387</v>
      </c>
      <c r="X221" s="40">
        <f>VLOOKUP(D221,[1]apoio_Preços_MGS!$A$6:$AN$238,29,FALSE)</f>
        <v>19.18</v>
      </c>
      <c r="Y221" s="40">
        <f>VLOOKUP(D221,[1]apoio_Preços_MGS!$A$6:$AN$238,30,FALSE)</f>
        <v>53.397831978319772</v>
      </c>
      <c r="Z221" s="40">
        <f t="shared" si="78"/>
        <v>72.577831978319779</v>
      </c>
      <c r="AA221" s="40">
        <f>VLOOKUP(D221,[1]apoio_Preços_MGS!$A$6:$AN$238,32,FALSE)</f>
        <v>4.9410809475831519</v>
      </c>
      <c r="AB221" s="40">
        <f>VLOOKUP(D221,[1]apoio_Preços_MGS!$A$6:$AN$238,33,FALSE)</f>
        <v>198.66351485587586</v>
      </c>
      <c r="AC221" s="41">
        <f>VLOOKUP(D221,[1]apoio_Preços_MGS!$A$6:$AN$238,34,FALSE)</f>
        <v>3.283403000675289E-2</v>
      </c>
      <c r="AD221" s="40">
        <f>(U221+W221+Z221+AB221+AA221+VLOOKUP(C221,[1]apoio_Prec_Folha!$A:$S,7,FALSE))*AC221</f>
        <v>180.68778648452204</v>
      </c>
      <c r="AE221" s="42">
        <f>VLOOKUP(D221,[1]apoio_Preços_MGS!$A$6:$AN$238,36,FALSE)</f>
        <v>7.0000000000000007E-2</v>
      </c>
      <c r="AF221" s="40">
        <f>(U221+W221+Z221+AB221+AD221+AA221+VLOOKUP(C221,[1]apoio_Prec_Folha!$A:$S,7,FALSE))*AE221</f>
        <v>397.8626633849052</v>
      </c>
      <c r="AG221" s="40">
        <f t="shared" si="79"/>
        <v>5533.31</v>
      </c>
      <c r="AH221" s="43">
        <f t="shared" si="80"/>
        <v>6305.76</v>
      </c>
      <c r="AI221" s="43">
        <f t="shared" si="81"/>
        <v>25223.040000000001</v>
      </c>
      <c r="AJ221" s="43">
        <f t="shared" si="82"/>
        <v>1513382.4000000001</v>
      </c>
      <c r="AK221" s="44">
        <f>VLOOKUP(D221,[1]apoio_Preços_MGS!$A$6:$AN$238,39,FALSE)</f>
        <v>181.81818181818184</v>
      </c>
      <c r="AL221" s="44">
        <f>IF(J221="demais municípios",VLOOKUP(D221,[1]apoio_Preços_MGS!$A$6:$AN$238,39,FALSE),0)</f>
        <v>181.81818181818184</v>
      </c>
      <c r="AM221" s="44">
        <v>0</v>
      </c>
      <c r="AN221" s="45">
        <f>AK221*K221</f>
        <v>727.27272727272737</v>
      </c>
      <c r="AO221" s="44">
        <f>VLOOKUP(D221,[1]apoio_Preços_MGS!$A$6:$AN$238,40,FALSE)</f>
        <v>548.29</v>
      </c>
      <c r="AP221" s="44">
        <f>IF(J221="demais municípios",VLOOKUP(D221,[1]apoio_Preços_MGS!$A$6:$AN$238,40,FALSE),0)</f>
        <v>548.29</v>
      </c>
      <c r="AQ221" s="44">
        <v>0</v>
      </c>
      <c r="AR221" s="45">
        <f>AO221*K221</f>
        <v>2193.16</v>
      </c>
      <c r="AS221" s="45">
        <f t="shared" si="91"/>
        <v>2920.4327272727273</v>
      </c>
      <c r="AT221" s="45">
        <f t="shared" si="92"/>
        <v>175225.96363636365</v>
      </c>
      <c r="AU221" s="62"/>
      <c r="AV221" s="46"/>
      <c r="AW221" s="47"/>
      <c r="AX221" s="48"/>
      <c r="AY221" s="49"/>
      <c r="BA221" s="48"/>
    </row>
    <row r="222" spans="1:53" ht="19.5" customHeight="1" x14ac:dyDescent="0.25">
      <c r="A222" s="33" t="str">
        <f t="shared" si="87"/>
        <v>106119400,05</v>
      </c>
      <c r="B222" s="33" t="str">
        <f t="shared" si="88"/>
        <v>1330,05</v>
      </c>
      <c r="C222" s="34" t="str">
        <f>VLOOKUP(D222,[1]apoio_Preços_MGS!$A$6:$B$238,2,FALSE)</f>
        <v>BOMBEIRO HIDRÁULICO</v>
      </c>
      <c r="D222" s="35">
        <v>133</v>
      </c>
      <c r="E222" s="33" t="str">
        <f>VLOOKUP(D222,[1]apoio_Preços_MGS!$A$6:$F$238,6,FALSE)</f>
        <v>BOMBEIRO HIDRÁULICO - DIARISTA DIURNO - 40H</v>
      </c>
      <c r="F222" s="36">
        <f>IFERROR(VLOOKUP(D222,'[1]apoio_cód catmas'!$B$2:$C$863,2,FALSE),0)</f>
        <v>106119</v>
      </c>
      <c r="G222" s="33" t="str">
        <f>IF(H222="N/A",VLOOKUP(F222&amp;40,'[1]apoio_cód catmas'!$A$1:$G$233,4,FALSE),VLOOKUP(F222&amp;H222,'[1]apoio_cód catmas'!$A$1:$G$233,4,FALSE))</f>
        <v>BOMBEIRO HIDRAULICO - 40H OU 44H</v>
      </c>
      <c r="H222" s="36">
        <v>40</v>
      </c>
      <c r="I222" s="37">
        <v>0.05</v>
      </c>
      <c r="J222" s="38" t="s">
        <v>47</v>
      </c>
      <c r="K222" s="39">
        <v>4</v>
      </c>
      <c r="L222" s="39">
        <f t="shared" si="77"/>
        <v>240</v>
      </c>
      <c r="M222" s="40">
        <f>VLOOKUP(D222,[1]apoio_Preços_MGS!$A$6:$AN$238,18,FALSE)</f>
        <v>2573.4796601995586</v>
      </c>
      <c r="N222" s="40">
        <f>VLOOKUP(D222,[1]apoio_Preços_MGS!$A$6:$AN$238,19,FALSE)</f>
        <v>0</v>
      </c>
      <c r="O222" s="40">
        <f>VLOOKUP(D222,[1]apoio_Preços_MGS!$A$6:$AN$238,20,FALSE)</f>
        <v>0</v>
      </c>
      <c r="P222" s="40">
        <f>VLOOKUP(D222,[1]apoio_Preços_MGS!$A$6:$AN$238,21,FALSE)</f>
        <v>0</v>
      </c>
      <c r="Q222" s="40">
        <f>VLOOKUP(D222,[1]apoio_Preços_MGS!$A$6:$AN$238,22,FALSE)</f>
        <v>0</v>
      </c>
      <c r="R222" s="40">
        <f>VLOOKUP(D222,[1]apoio_Preços_MGS!$A$6:$AN$238,23,FALSE)</f>
        <v>0</v>
      </c>
      <c r="S222" s="40">
        <f>VLOOKUP(D222,[1]apoio_Preços_MGS!$A$6:$AN$238,24,FALSE)</f>
        <v>0</v>
      </c>
      <c r="T222" s="40">
        <f>VLOOKUP(D222,[1]apoio_Preços_MGS!$A$6:$AN$238,25,FALSE)</f>
        <v>0</v>
      </c>
      <c r="U222" s="40">
        <f t="shared" si="75"/>
        <v>2573.4796601995586</v>
      </c>
      <c r="V222" s="41">
        <v>0.81799999999999995</v>
      </c>
      <c r="W222" s="40">
        <f t="shared" si="76"/>
        <v>2105.1063620432387</v>
      </c>
      <c r="X222" s="40">
        <f>VLOOKUP(D222,[1]apoio_Preços_MGS!$A$6:$AN$238,29,FALSE)</f>
        <v>19.18</v>
      </c>
      <c r="Y222" s="40">
        <f>VLOOKUP(D222,[1]apoio_Preços_MGS!$A$6:$AN$238,30,FALSE)</f>
        <v>53.397831978319772</v>
      </c>
      <c r="Z222" s="40">
        <f t="shared" si="78"/>
        <v>72.577831978319779</v>
      </c>
      <c r="AA222" s="40">
        <f>VLOOKUP(D222,[1]apoio_Preços_MGS!$A$6:$AN$238,32,FALSE)</f>
        <v>4.9410809475831519</v>
      </c>
      <c r="AB222" s="40">
        <f>VLOOKUP(D222,[1]apoio_Preços_MGS!$A$6:$AN$238,33,FALSE)</f>
        <v>198.66351485587586</v>
      </c>
      <c r="AC222" s="41">
        <f>VLOOKUP(D222,[1]apoio_Preços_MGS!$A$6:$AN$238,34,FALSE)</f>
        <v>3.283403000675289E-2</v>
      </c>
      <c r="AD222" s="40">
        <f>(U222+W222+Z222+AB222+AA222+VLOOKUP(C222,[1]apoio_Prec_Folha!$A:$S,7,FALSE))*AC222</f>
        <v>180.68778648452204</v>
      </c>
      <c r="AE222" s="42">
        <f>VLOOKUP(D222,[1]apoio_Preços_MGS!$A$6:$AN$238,36,FALSE)</f>
        <v>7.0000000000000007E-2</v>
      </c>
      <c r="AF222" s="40">
        <f>(U222+W222+Z222+AB222+AD222+AA222+VLOOKUP(C222,[1]apoio_Prec_Folha!$A:$S,7,FALSE))*AE222</f>
        <v>397.8626633849052</v>
      </c>
      <c r="AG222" s="40">
        <f t="shared" si="79"/>
        <v>5533.31</v>
      </c>
      <c r="AH222" s="43">
        <f t="shared" si="80"/>
        <v>6452.83</v>
      </c>
      <c r="AI222" s="43">
        <f t="shared" si="81"/>
        <v>25811.32</v>
      </c>
      <c r="AJ222" s="43">
        <f t="shared" si="82"/>
        <v>1548679.2</v>
      </c>
      <c r="AK222" s="44">
        <f>VLOOKUP(D222,[1]apoio_Preços_MGS!$A$6:$AN$238,39,FALSE)</f>
        <v>181.81818181818184</v>
      </c>
      <c r="AL222" s="44">
        <f>IF(J222="demais municípios",VLOOKUP(D222,[1]apoio_Preços_MGS!$A$6:$AN$238,39,FALSE),0)</f>
        <v>0</v>
      </c>
      <c r="AM222" s="44">
        <f>TRUNC(ROUND(($I222)/(1-($I222)),5)*VLOOKUP(D222,[1]apoio_Preços_MGS!$A$6:$AN$238,39,FALSE)+VLOOKUP(D222,[1]apoio_Preços_MGS!$A$6:$AN$238,39,FALSE),2)</f>
        <v>191.38</v>
      </c>
      <c r="AN222" s="45">
        <f t="shared" ref="AN222" si="101">AM222*K222</f>
        <v>765.52</v>
      </c>
      <c r="AO222" s="44">
        <f>VLOOKUP(D222,[1]apoio_Preços_MGS!$A$6:$AN$238,40,FALSE)</f>
        <v>548.29</v>
      </c>
      <c r="AP222" s="44">
        <f>IF(J222="demais municípios",VLOOKUP(D222,[1]apoio_Preços_MGS!$A$6:$AN$238,40,FALSE),0)</f>
        <v>0</v>
      </c>
      <c r="AQ222" s="44">
        <f>TRUNC(ROUND(($I222)/(1-($I222)),5)*VLOOKUP(D222,[1]apoio_Preços_MGS!$A$6:$AN$238,40,FALSE)+VLOOKUP(D222,[1]apoio_Preços_MGS!$A$6:$AN$238,40,FALSE),2)</f>
        <v>577.14</v>
      </c>
      <c r="AR222" s="45">
        <f t="shared" ref="AR222" si="102">AQ222*K222</f>
        <v>2308.56</v>
      </c>
      <c r="AS222" s="45">
        <f t="shared" si="91"/>
        <v>3074.08</v>
      </c>
      <c r="AT222" s="45">
        <f t="shared" si="92"/>
        <v>184444.79999999999</v>
      </c>
      <c r="AU222" s="62"/>
      <c r="AV222" s="46"/>
      <c r="AW222" s="47"/>
      <c r="AX222" s="48"/>
      <c r="AY222" s="49"/>
      <c r="BA222" s="48"/>
    </row>
    <row r="223" spans="1:53" ht="19.5" customHeight="1" x14ac:dyDescent="0.25">
      <c r="A223" s="33" t="str">
        <f t="shared" si="87"/>
        <v>106119400,05</v>
      </c>
      <c r="B223" s="33" t="str">
        <f t="shared" si="88"/>
        <v>1330,05</v>
      </c>
      <c r="C223" s="34" t="str">
        <f>VLOOKUP(D223,[1]apoio_Preços_MGS!$A$6:$B$238,2,FALSE)</f>
        <v>BOMBEIRO HIDRÁULICO</v>
      </c>
      <c r="D223" s="35">
        <v>133</v>
      </c>
      <c r="E223" s="33" t="str">
        <f>VLOOKUP(D223,[1]apoio_Preços_MGS!$A$6:$F$238,6,FALSE)</f>
        <v>BOMBEIRO HIDRÁULICO - DIARISTA DIURNO - 40H</v>
      </c>
      <c r="F223" s="36">
        <f>IFERROR(VLOOKUP(D223,'[1]apoio_cód catmas'!$B$2:$C$863,2,FALSE),0)</f>
        <v>106119</v>
      </c>
      <c r="G223" s="33" t="str">
        <f>IF(H223="N/A",VLOOKUP(F223&amp;40,'[1]apoio_cód catmas'!$A$1:$G$233,4,FALSE),VLOOKUP(F223&amp;H223,'[1]apoio_cód catmas'!$A$1:$G$233,4,FALSE))</f>
        <v>BOMBEIRO HIDRAULICO - 40H OU 44H</v>
      </c>
      <c r="H223" s="36">
        <v>40</v>
      </c>
      <c r="I223" s="37">
        <v>0.05</v>
      </c>
      <c r="J223" s="38" t="s">
        <v>47</v>
      </c>
      <c r="K223" s="39">
        <v>1</v>
      </c>
      <c r="L223" s="39">
        <f>K223*52</f>
        <v>52</v>
      </c>
      <c r="M223" s="40">
        <f>VLOOKUP(D223,[1]apoio_Preços_MGS!$A$6:$AN$238,18,FALSE)</f>
        <v>2573.4796601995586</v>
      </c>
      <c r="N223" s="40">
        <f>VLOOKUP(D223,[1]apoio_Preços_MGS!$A$6:$AN$238,19,FALSE)</f>
        <v>0</v>
      </c>
      <c r="O223" s="40">
        <f>VLOOKUP(D223,[1]apoio_Preços_MGS!$A$6:$AN$238,20,FALSE)</f>
        <v>0</v>
      </c>
      <c r="P223" s="40">
        <f>VLOOKUP(D223,[1]apoio_Preços_MGS!$A$6:$AN$238,21,FALSE)</f>
        <v>0</v>
      </c>
      <c r="Q223" s="40">
        <f>VLOOKUP(D223,[1]apoio_Preços_MGS!$A$6:$AN$238,22,FALSE)</f>
        <v>0</v>
      </c>
      <c r="R223" s="40">
        <f>VLOOKUP(D223,[1]apoio_Preços_MGS!$A$6:$AN$238,23,FALSE)</f>
        <v>0</v>
      </c>
      <c r="S223" s="40">
        <f>VLOOKUP(D223,[1]apoio_Preços_MGS!$A$6:$AN$238,24,FALSE)</f>
        <v>0</v>
      </c>
      <c r="T223" s="40">
        <f>VLOOKUP(D223,[1]apoio_Preços_MGS!$A$6:$AN$238,25,FALSE)</f>
        <v>0</v>
      </c>
      <c r="U223" s="40">
        <f t="shared" si="75"/>
        <v>2573.4796601995586</v>
      </c>
      <c r="V223" s="41">
        <v>0.81799999999999995</v>
      </c>
      <c r="W223" s="40">
        <f t="shared" si="76"/>
        <v>2105.1063620432387</v>
      </c>
      <c r="X223" s="40">
        <f>VLOOKUP(D223,[1]apoio_Preços_MGS!$A$6:$AN$238,29,FALSE)</f>
        <v>19.18</v>
      </c>
      <c r="Y223" s="40">
        <f>VLOOKUP(D223,[1]apoio_Preços_MGS!$A$6:$AN$238,30,FALSE)</f>
        <v>53.397831978319772</v>
      </c>
      <c r="Z223" s="40">
        <f t="shared" si="78"/>
        <v>72.577831978319779</v>
      </c>
      <c r="AA223" s="40">
        <f>VLOOKUP(D223,[1]apoio_Preços_MGS!$A$6:$AN$238,32,FALSE)</f>
        <v>4.9410809475831519</v>
      </c>
      <c r="AB223" s="40">
        <f>VLOOKUP(D223,[1]apoio_Preços_MGS!$A$6:$AN$238,33,FALSE)</f>
        <v>198.66351485587586</v>
      </c>
      <c r="AC223" s="41">
        <f>VLOOKUP(D223,[1]apoio_Preços_MGS!$A$6:$AN$238,34,FALSE)</f>
        <v>3.283403000675289E-2</v>
      </c>
      <c r="AD223" s="40">
        <f>(U223+W223+Z223+AB223+AA223+VLOOKUP(C223,[1]apoio_Prec_Folha!$A:$S,7,FALSE))*AC223</f>
        <v>180.68778648452204</v>
      </c>
      <c r="AE223" s="42">
        <f>VLOOKUP(D223,[1]apoio_Preços_MGS!$A$6:$AN$238,36,FALSE)</f>
        <v>7.0000000000000007E-2</v>
      </c>
      <c r="AF223" s="40">
        <f>(U223+W223+Z223+AB223+AD223+AA223+VLOOKUP(C223,[1]apoio_Prec_Folha!$A:$S,7,FALSE))*AE223</f>
        <v>397.8626633849052</v>
      </c>
      <c r="AG223" s="40">
        <f t="shared" si="79"/>
        <v>5533.31</v>
      </c>
      <c r="AH223" s="43">
        <f t="shared" si="80"/>
        <v>6452.83</v>
      </c>
      <c r="AI223" s="43">
        <f t="shared" si="81"/>
        <v>6452.83</v>
      </c>
      <c r="AJ223" s="43">
        <f t="shared" si="82"/>
        <v>335547.16</v>
      </c>
      <c r="AK223" s="44">
        <f>VLOOKUP(D223,[1]apoio_Preços_MGS!$A$6:$AN$238,39,FALSE)</f>
        <v>181.81818181818184</v>
      </c>
      <c r="AL223" s="44">
        <f>IF(J223="demais municípios",VLOOKUP(D223,[1]apoio_Preços_MGS!$A$6:$AN$238,39,FALSE),0)</f>
        <v>0</v>
      </c>
      <c r="AM223" s="44">
        <f>TRUNC(ROUND(($I223)/(1-($I223)),5)*VLOOKUP(D223,[1]apoio_Preços_MGS!$A$6:$AN$238,39,FALSE)+VLOOKUP(D223,[1]apoio_Preços_MGS!$A$6:$AN$238,39,FALSE),2)</f>
        <v>191.38</v>
      </c>
      <c r="AN223" s="45">
        <f t="shared" si="93"/>
        <v>191.38</v>
      </c>
      <c r="AO223" s="44">
        <f>VLOOKUP(D223,[1]apoio_Preços_MGS!$A$6:$AN$238,40,FALSE)</f>
        <v>548.29</v>
      </c>
      <c r="AP223" s="44">
        <f>IF(J223="demais municípios",VLOOKUP(D223,[1]apoio_Preços_MGS!$A$6:$AN$238,40,FALSE),0)</f>
        <v>0</v>
      </c>
      <c r="AQ223" s="44">
        <f>TRUNC(ROUND(($I223)/(1-($I223)),5)*VLOOKUP(D223,[1]apoio_Preços_MGS!$A$6:$AN$238,40,FALSE)+VLOOKUP(D223,[1]apoio_Preços_MGS!$A$6:$AN$238,40,FALSE),2)</f>
        <v>577.14</v>
      </c>
      <c r="AR223" s="45">
        <f t="shared" si="94"/>
        <v>577.14</v>
      </c>
      <c r="AS223" s="45">
        <f t="shared" si="91"/>
        <v>768.52</v>
      </c>
      <c r="AT223" s="45">
        <f t="shared" si="92"/>
        <v>46111.199999999997</v>
      </c>
      <c r="AU223" s="62"/>
      <c r="AV223" s="46"/>
      <c r="AW223" s="47"/>
      <c r="AX223" s="48"/>
      <c r="AY223" s="49"/>
      <c r="BA223" s="48"/>
    </row>
    <row r="224" spans="1:53" ht="19.5" customHeight="1" x14ac:dyDescent="0.25">
      <c r="A224" s="33" t="str">
        <f t="shared" si="87"/>
        <v>106119440,03</v>
      </c>
      <c r="B224" s="33" t="str">
        <f t="shared" si="88"/>
        <v>1320,03</v>
      </c>
      <c r="C224" s="34" t="str">
        <f>VLOOKUP(D224,[1]apoio_Preços_MGS!$A$6:$B$238,2,FALSE)</f>
        <v>BOMBEIRO HIDRÁULICO</v>
      </c>
      <c r="D224" s="35">
        <v>132</v>
      </c>
      <c r="E224" s="33" t="str">
        <f>VLOOKUP(D224,[1]apoio_Preços_MGS!$A$6:$F$238,6,FALSE)</f>
        <v>BOMBEIRO HIDRÁULICO - DIARISTA DIURNO - 44H</v>
      </c>
      <c r="F224" s="36">
        <f>IFERROR(VLOOKUP(D224,'[1]apoio_cód catmas'!$B$2:$C$863,2,FALSE),0)</f>
        <v>106119</v>
      </c>
      <c r="G224" s="33" t="str">
        <f>IF(H224="N/A",VLOOKUP(F224&amp;40,'[1]apoio_cód catmas'!$A$1:$G$233,4,FALSE),VLOOKUP(F224&amp;H224,'[1]apoio_cód catmas'!$A$1:$G$233,4,FALSE))</f>
        <v>BOMBEIRO HIDRAULICO - 40H OU 44H</v>
      </c>
      <c r="H224" s="36">
        <v>44</v>
      </c>
      <c r="I224" s="37">
        <v>0.03</v>
      </c>
      <c r="J224" s="38" t="s">
        <v>46</v>
      </c>
      <c r="K224" s="39">
        <v>5</v>
      </c>
      <c r="L224" s="39">
        <f t="shared" si="77"/>
        <v>300</v>
      </c>
      <c r="M224" s="40">
        <f>VLOOKUP(D224,[1]apoio_Preços_MGS!$A$6:$AN$238,18,FALSE)</f>
        <v>2830.8276262195141</v>
      </c>
      <c r="N224" s="40">
        <f>VLOOKUP(D224,[1]apoio_Preços_MGS!$A$6:$AN$238,19,FALSE)</f>
        <v>0</v>
      </c>
      <c r="O224" s="40">
        <f>VLOOKUP(D224,[1]apoio_Preços_MGS!$A$6:$AN$238,20,FALSE)</f>
        <v>0</v>
      </c>
      <c r="P224" s="40">
        <f>VLOOKUP(D224,[1]apoio_Preços_MGS!$A$6:$AN$238,21,FALSE)</f>
        <v>0</v>
      </c>
      <c r="Q224" s="40">
        <f>VLOOKUP(D224,[1]apoio_Preços_MGS!$A$6:$AN$238,22,FALSE)</f>
        <v>0</v>
      </c>
      <c r="R224" s="40">
        <f>VLOOKUP(D224,[1]apoio_Preços_MGS!$A$6:$AN$238,23,FALSE)</f>
        <v>0</v>
      </c>
      <c r="S224" s="40">
        <f>VLOOKUP(D224,[1]apoio_Preços_MGS!$A$6:$AN$238,24,FALSE)</f>
        <v>0</v>
      </c>
      <c r="T224" s="40">
        <f>VLOOKUP(D224,[1]apoio_Preços_MGS!$A$6:$AN$238,25,FALSE)</f>
        <v>0</v>
      </c>
      <c r="U224" s="40">
        <f t="shared" si="75"/>
        <v>2830.8276262195141</v>
      </c>
      <c r="V224" s="41">
        <v>0.81799999999999995</v>
      </c>
      <c r="W224" s="40">
        <f t="shared" si="76"/>
        <v>2315.6169982475622</v>
      </c>
      <c r="X224" s="40">
        <f>VLOOKUP(D224,[1]apoio_Preços_MGS!$A$6:$AN$238,29,FALSE)</f>
        <v>19.18</v>
      </c>
      <c r="Y224" s="40">
        <f>VLOOKUP(D224,[1]apoio_Preços_MGS!$A$6:$AN$238,30,FALSE)</f>
        <v>53.397831978319772</v>
      </c>
      <c r="Z224" s="40">
        <f t="shared" si="78"/>
        <v>72.577831978319779</v>
      </c>
      <c r="AA224" s="40">
        <f>VLOOKUP(D224,[1]apoio_Preços_MGS!$A$6:$AN$238,32,FALSE)</f>
        <v>5.4351890423414666</v>
      </c>
      <c r="AB224" s="40">
        <f>VLOOKUP(D224,[1]apoio_Preços_MGS!$A$6:$AN$238,33,FALSE)</f>
        <v>187.48959024390248</v>
      </c>
      <c r="AC224" s="41">
        <f>VLOOKUP(D224,[1]apoio_Preços_MGS!$A$6:$AN$238,34,FALSE)</f>
        <v>3.283403000675289E-2</v>
      </c>
      <c r="AD224" s="40">
        <f>(U224+W224+Z224+AB224+AA224+VLOOKUP(C224,[1]apoio_Prec_Folha!$A:$S,7,FALSE))*AC224</f>
        <v>195.69880845287858</v>
      </c>
      <c r="AE224" s="42">
        <f>VLOOKUP(D224,[1]apoio_Preços_MGS!$A$6:$AN$238,36,FALSE)</f>
        <v>7.0000000000000007E-2</v>
      </c>
      <c r="AF224" s="40">
        <f>(U224+W224+Z224+AB224+AD224+AA224+VLOOKUP(C224,[1]apoio_Prec_Folha!$A:$S,7,FALSE))*AE224</f>
        <v>430.91594992218455</v>
      </c>
      <c r="AG224" s="40">
        <f t="shared" si="79"/>
        <v>6038.56</v>
      </c>
      <c r="AH224" s="43">
        <f t="shared" si="80"/>
        <v>6881.54</v>
      </c>
      <c r="AI224" s="43">
        <f t="shared" si="81"/>
        <v>34407.699999999997</v>
      </c>
      <c r="AJ224" s="43">
        <f t="shared" si="82"/>
        <v>2064462</v>
      </c>
      <c r="AK224" s="44">
        <f>VLOOKUP(D224,[1]apoio_Preços_MGS!$A$6:$AN$238,39,FALSE)</f>
        <v>200.00000000000003</v>
      </c>
      <c r="AL224" s="44">
        <f>IF(J224="demais municípios",VLOOKUP(D224,[1]apoio_Preços_MGS!$A$6:$AN$238,39,FALSE),0)</f>
        <v>200.00000000000003</v>
      </c>
      <c r="AM224" s="44">
        <v>0</v>
      </c>
      <c r="AN224" s="45">
        <f>AK224*K224</f>
        <v>1000.0000000000001</v>
      </c>
      <c r="AO224" s="44">
        <f>VLOOKUP(D224,[1]apoio_Preços_MGS!$A$6:$AN$238,40,FALSE)</f>
        <v>548.29</v>
      </c>
      <c r="AP224" s="44">
        <f>IF(J224="demais municípios",VLOOKUP(D224,[1]apoio_Preços_MGS!$A$6:$AN$238,40,FALSE),0)</f>
        <v>548.29</v>
      </c>
      <c r="AQ224" s="44">
        <v>0</v>
      </c>
      <c r="AR224" s="45">
        <f>AO224*K224</f>
        <v>2741.45</v>
      </c>
      <c r="AS224" s="45">
        <f t="shared" si="91"/>
        <v>3741.45</v>
      </c>
      <c r="AT224" s="45">
        <f t="shared" si="92"/>
        <v>224487</v>
      </c>
      <c r="AU224" s="62"/>
      <c r="AV224" s="46"/>
      <c r="AW224" s="47"/>
      <c r="AX224" s="48"/>
      <c r="AY224" s="49"/>
      <c r="BA224" s="48"/>
    </row>
    <row r="225" spans="1:53" ht="19.5" customHeight="1" x14ac:dyDescent="0.25">
      <c r="A225" s="33" t="str">
        <f t="shared" si="87"/>
        <v>106119440,05</v>
      </c>
      <c r="B225" s="33" t="str">
        <f t="shared" si="88"/>
        <v>1320,05</v>
      </c>
      <c r="C225" s="34" t="str">
        <f>VLOOKUP(D225,[1]apoio_Preços_MGS!$A$6:$B$238,2,FALSE)</f>
        <v>BOMBEIRO HIDRÁULICO</v>
      </c>
      <c r="D225" s="35">
        <v>132</v>
      </c>
      <c r="E225" s="33" t="str">
        <f>VLOOKUP(D225,[1]apoio_Preços_MGS!$A$6:$F$238,6,FALSE)</f>
        <v>BOMBEIRO HIDRÁULICO - DIARISTA DIURNO - 44H</v>
      </c>
      <c r="F225" s="36">
        <f>IFERROR(VLOOKUP(D225,'[1]apoio_cód catmas'!$B$2:$C$863,2,FALSE),0)</f>
        <v>106119</v>
      </c>
      <c r="G225" s="33" t="str">
        <f>IF(H225="N/A",VLOOKUP(F225&amp;40,'[1]apoio_cód catmas'!$A$1:$G$233,4,FALSE),VLOOKUP(F225&amp;H225,'[1]apoio_cód catmas'!$A$1:$G$233,4,FALSE))</f>
        <v>BOMBEIRO HIDRAULICO - 40H OU 44H</v>
      </c>
      <c r="H225" s="36">
        <v>44</v>
      </c>
      <c r="I225" s="37">
        <v>0.05</v>
      </c>
      <c r="J225" s="38" t="s">
        <v>47</v>
      </c>
      <c r="K225" s="39">
        <v>24</v>
      </c>
      <c r="L225" s="39">
        <f t="shared" si="77"/>
        <v>1440</v>
      </c>
      <c r="M225" s="40">
        <f>VLOOKUP(D225,[1]apoio_Preços_MGS!$A$6:$AN$238,18,FALSE)</f>
        <v>2830.8276262195141</v>
      </c>
      <c r="N225" s="40">
        <f>VLOOKUP(D225,[1]apoio_Preços_MGS!$A$6:$AN$238,19,FALSE)</f>
        <v>0</v>
      </c>
      <c r="O225" s="40">
        <f>VLOOKUP(D225,[1]apoio_Preços_MGS!$A$6:$AN$238,20,FALSE)</f>
        <v>0</v>
      </c>
      <c r="P225" s="40">
        <f>VLOOKUP(D225,[1]apoio_Preços_MGS!$A$6:$AN$238,21,FALSE)</f>
        <v>0</v>
      </c>
      <c r="Q225" s="40">
        <f>VLOOKUP(D225,[1]apoio_Preços_MGS!$A$6:$AN$238,22,FALSE)</f>
        <v>0</v>
      </c>
      <c r="R225" s="40">
        <f>VLOOKUP(D225,[1]apoio_Preços_MGS!$A$6:$AN$238,23,FALSE)</f>
        <v>0</v>
      </c>
      <c r="S225" s="40">
        <f>VLOOKUP(D225,[1]apoio_Preços_MGS!$A$6:$AN$238,24,FALSE)</f>
        <v>0</v>
      </c>
      <c r="T225" s="40">
        <f>VLOOKUP(D225,[1]apoio_Preços_MGS!$A$6:$AN$238,25,FALSE)</f>
        <v>0</v>
      </c>
      <c r="U225" s="40">
        <f t="shared" si="75"/>
        <v>2830.8276262195141</v>
      </c>
      <c r="V225" s="41">
        <v>0.81799999999999995</v>
      </c>
      <c r="W225" s="40">
        <f t="shared" si="76"/>
        <v>2315.6169982475622</v>
      </c>
      <c r="X225" s="40">
        <f>VLOOKUP(D225,[1]apoio_Preços_MGS!$A$6:$AN$238,29,FALSE)</f>
        <v>19.18</v>
      </c>
      <c r="Y225" s="40">
        <f>VLOOKUP(D225,[1]apoio_Preços_MGS!$A$6:$AN$238,30,FALSE)</f>
        <v>53.397831978319772</v>
      </c>
      <c r="Z225" s="40">
        <f t="shared" si="78"/>
        <v>72.577831978319779</v>
      </c>
      <c r="AA225" s="40">
        <f>VLOOKUP(D225,[1]apoio_Preços_MGS!$A$6:$AN$238,32,FALSE)</f>
        <v>5.4351890423414666</v>
      </c>
      <c r="AB225" s="40">
        <f>VLOOKUP(D225,[1]apoio_Preços_MGS!$A$6:$AN$238,33,FALSE)</f>
        <v>187.48959024390248</v>
      </c>
      <c r="AC225" s="41">
        <f>VLOOKUP(D225,[1]apoio_Preços_MGS!$A$6:$AN$238,34,FALSE)</f>
        <v>3.283403000675289E-2</v>
      </c>
      <c r="AD225" s="40">
        <f>(U225+W225+Z225+AB225+AA225+VLOOKUP(C225,[1]apoio_Prec_Folha!$A:$S,7,FALSE))*AC225</f>
        <v>195.69880845287858</v>
      </c>
      <c r="AE225" s="42">
        <f>VLOOKUP(D225,[1]apoio_Preços_MGS!$A$6:$AN$238,36,FALSE)</f>
        <v>7.0000000000000007E-2</v>
      </c>
      <c r="AF225" s="40">
        <f>(U225+W225+Z225+AB225+AD225+AA225+VLOOKUP(C225,[1]apoio_Prec_Folha!$A:$S,7,FALSE))*AE225</f>
        <v>430.91594992218455</v>
      </c>
      <c r="AG225" s="40">
        <f t="shared" si="79"/>
        <v>6038.56</v>
      </c>
      <c r="AH225" s="43">
        <f t="shared" si="80"/>
        <v>7042.04</v>
      </c>
      <c r="AI225" s="43">
        <f t="shared" si="81"/>
        <v>169008.96</v>
      </c>
      <c r="AJ225" s="43">
        <f t="shared" si="82"/>
        <v>10140537.6</v>
      </c>
      <c r="AK225" s="44">
        <f>VLOOKUP(D225,[1]apoio_Preços_MGS!$A$6:$AN$238,39,FALSE)</f>
        <v>200.00000000000003</v>
      </c>
      <c r="AL225" s="44">
        <f>IF(J225="demais municípios",VLOOKUP(D225,[1]apoio_Preços_MGS!$A$6:$AN$238,39,FALSE),0)</f>
        <v>0</v>
      </c>
      <c r="AM225" s="44">
        <f>TRUNC(ROUND(($I225)/(1-($I225)),5)*VLOOKUP(D225,[1]apoio_Preços_MGS!$A$6:$AN$238,39,FALSE)+VLOOKUP(D225,[1]apoio_Preços_MGS!$A$6:$AN$238,39,FALSE),2)</f>
        <v>210.52</v>
      </c>
      <c r="AN225" s="45">
        <f t="shared" si="93"/>
        <v>5052.4800000000005</v>
      </c>
      <c r="AO225" s="44">
        <f>VLOOKUP(D225,[1]apoio_Preços_MGS!$A$6:$AN$238,40,FALSE)</f>
        <v>548.29</v>
      </c>
      <c r="AP225" s="44">
        <f>IF(J225="demais municípios",VLOOKUP(D225,[1]apoio_Preços_MGS!$A$6:$AN$238,40,FALSE),0)</f>
        <v>0</v>
      </c>
      <c r="AQ225" s="44">
        <f>TRUNC(ROUND(($I225)/(1-($I225)),5)*VLOOKUP(D225,[1]apoio_Preços_MGS!$A$6:$AN$238,40,FALSE)+VLOOKUP(D225,[1]apoio_Preços_MGS!$A$6:$AN$238,40,FALSE),2)</f>
        <v>577.14</v>
      </c>
      <c r="AR225" s="45">
        <f t="shared" si="94"/>
        <v>13851.36</v>
      </c>
      <c r="AS225" s="45">
        <f t="shared" si="91"/>
        <v>18903.84</v>
      </c>
      <c r="AT225" s="45">
        <f t="shared" si="92"/>
        <v>1134230.3999999999</v>
      </c>
      <c r="AU225" s="62"/>
      <c r="AV225" s="46"/>
      <c r="AW225" s="47"/>
      <c r="AX225" s="48"/>
      <c r="AY225" s="49"/>
      <c r="BA225" s="48"/>
    </row>
    <row r="226" spans="1:53" ht="19.5" customHeight="1" x14ac:dyDescent="0.25">
      <c r="A226" s="33" t="str">
        <f t="shared" si="87"/>
        <v>106127400,05</v>
      </c>
      <c r="B226" s="33" t="str">
        <f t="shared" si="88"/>
        <v>1380,05</v>
      </c>
      <c r="C226" s="34" t="str">
        <f>VLOOKUP(D226,[1]apoio_Preços_MGS!$A$6:$B$238,2,FALSE)</f>
        <v>BOMBEIRO HIDRÁULICO</v>
      </c>
      <c r="D226" s="35">
        <v>138</v>
      </c>
      <c r="E226" s="33" t="str">
        <f>VLOOKUP(D226,[1]apoio_Preços_MGS!$A$6:$F$238,6,FALSE)</f>
        <v>BOMBEIRO HIDRÁULICO - (PERIC.) - DIARISTA DIURNO - 40H</v>
      </c>
      <c r="F226" s="36">
        <f>IFERROR(VLOOKUP(D226,'[1]apoio_cód catmas'!$B$2:$C$863,2,FALSE),0)</f>
        <v>106127</v>
      </c>
      <c r="G226" s="33" t="str">
        <f>IF(H226="N/A",VLOOKUP(F226&amp;40,'[1]apoio_cód catmas'!$A$1:$G$233,4,FALSE),VLOOKUP(F226&amp;H226,'[1]apoio_cód catmas'!$A$1:$G$233,4,FALSE))</f>
        <v>BOMBEIRO HIDRAULICO (PERICULOSIDADE) - 40H OU 44H</v>
      </c>
      <c r="H226" s="36">
        <v>40</v>
      </c>
      <c r="I226" s="37">
        <v>0.05</v>
      </c>
      <c r="J226" s="38" t="s">
        <v>47</v>
      </c>
      <c r="K226" s="39">
        <v>7</v>
      </c>
      <c r="L226" s="39">
        <f t="shared" si="77"/>
        <v>420</v>
      </c>
      <c r="M226" s="40">
        <f>VLOOKUP(D226,[1]apoio_Preços_MGS!$A$6:$AN$238,18,FALSE)</f>
        <v>2573.4796601995586</v>
      </c>
      <c r="N226" s="40">
        <f>VLOOKUP(D226,[1]apoio_Preços_MGS!$A$6:$AN$238,19,FALSE)</f>
        <v>772.0438980598675</v>
      </c>
      <c r="O226" s="40">
        <f>VLOOKUP(D226,[1]apoio_Preços_MGS!$A$6:$AN$238,20,FALSE)</f>
        <v>0</v>
      </c>
      <c r="P226" s="40">
        <f>VLOOKUP(D226,[1]apoio_Preços_MGS!$A$6:$AN$238,21,FALSE)</f>
        <v>0</v>
      </c>
      <c r="Q226" s="40">
        <f>VLOOKUP(D226,[1]apoio_Preços_MGS!$A$6:$AN$238,22,FALSE)</f>
        <v>0</v>
      </c>
      <c r="R226" s="40">
        <f>VLOOKUP(D226,[1]apoio_Preços_MGS!$A$6:$AN$238,23,FALSE)</f>
        <v>0</v>
      </c>
      <c r="S226" s="40">
        <f>VLOOKUP(D226,[1]apoio_Preços_MGS!$A$6:$AN$238,24,FALSE)</f>
        <v>0</v>
      </c>
      <c r="T226" s="40">
        <f>VLOOKUP(D226,[1]apoio_Preços_MGS!$A$6:$AN$238,25,FALSE)</f>
        <v>0</v>
      </c>
      <c r="U226" s="40">
        <f t="shared" si="75"/>
        <v>3345.523558259426</v>
      </c>
      <c r="V226" s="41">
        <v>0.81799999999999995</v>
      </c>
      <c r="W226" s="40">
        <f t="shared" si="76"/>
        <v>2736.6382706562104</v>
      </c>
      <c r="X226" s="40">
        <f>VLOOKUP(D226,[1]apoio_Preços_MGS!$A$6:$AN$238,29,FALSE)</f>
        <v>19.18</v>
      </c>
      <c r="Y226" s="40">
        <f>VLOOKUP(D226,[1]apoio_Preços_MGS!$A$6:$AN$238,30,FALSE)</f>
        <v>53.397831978319772</v>
      </c>
      <c r="Z226" s="40">
        <f t="shared" si="78"/>
        <v>72.577831978319779</v>
      </c>
      <c r="AA226" s="40">
        <f>VLOOKUP(D226,[1]apoio_Preços_MGS!$A$6:$AN$238,32,FALSE)</f>
        <v>4.9410809475831519</v>
      </c>
      <c r="AB226" s="40">
        <f>VLOOKUP(D226,[1]apoio_Preços_MGS!$A$6:$AN$238,33,FALSE)</f>
        <v>198.66351485587586</v>
      </c>
      <c r="AC226" s="41">
        <f>VLOOKUP(D226,[1]apoio_Preços_MGS!$A$6:$AN$238,34,FALSE)</f>
        <v>3.283403000675289E-2</v>
      </c>
      <c r="AD226" s="40">
        <f>(U226+W226+Z226+AB226+AA226+VLOOKUP(C226,[1]apoio_Prec_Folha!$A:$S,7,FALSE))*AC226</f>
        <v>226.77283663757041</v>
      </c>
      <c r="AE226" s="42">
        <f>VLOOKUP(D226,[1]apoio_Preços_MGS!$A$6:$AN$238,36,FALSE)</f>
        <v>7.0000000000000007E-2</v>
      </c>
      <c r="AF226" s="40">
        <f>(U226+W226+Z226+AB226+AD226+AA226+VLOOKUP(C226,[1]apoio_Prec_Folha!$A:$S,7,FALSE))*AE226</f>
        <v>499.33892336271731</v>
      </c>
      <c r="AG226" s="40">
        <f t="shared" si="79"/>
        <v>7084.45</v>
      </c>
      <c r="AH226" s="43">
        <f t="shared" si="80"/>
        <v>8261.74</v>
      </c>
      <c r="AI226" s="43">
        <f t="shared" si="81"/>
        <v>57832.18</v>
      </c>
      <c r="AJ226" s="43">
        <f t="shared" si="82"/>
        <v>3469930.8</v>
      </c>
      <c r="AK226" s="44">
        <f>VLOOKUP(D226,[1]apoio_Preços_MGS!$A$6:$AN$238,39,FALSE)</f>
        <v>181.81818181818184</v>
      </c>
      <c r="AL226" s="44">
        <f>IF(J226="demais municípios",VLOOKUP(D226,[1]apoio_Preços_MGS!$A$6:$AN$238,39,FALSE),0)</f>
        <v>0</v>
      </c>
      <c r="AM226" s="44">
        <f>TRUNC(ROUND(($I226)/(1-($I226)),5)*VLOOKUP(D226,[1]apoio_Preços_MGS!$A$6:$AN$238,39,FALSE)+VLOOKUP(D226,[1]apoio_Preços_MGS!$A$6:$AN$238,39,FALSE),2)</f>
        <v>191.38</v>
      </c>
      <c r="AN226" s="45">
        <f t="shared" si="93"/>
        <v>1339.6599999999999</v>
      </c>
      <c r="AO226" s="44">
        <f>VLOOKUP(D226,[1]apoio_Preços_MGS!$A$6:$AN$238,40,FALSE)</f>
        <v>548.29</v>
      </c>
      <c r="AP226" s="44">
        <f>IF(J226="demais municípios",VLOOKUP(D226,[1]apoio_Preços_MGS!$A$6:$AN$238,40,FALSE),0)</f>
        <v>0</v>
      </c>
      <c r="AQ226" s="44">
        <f>TRUNC(ROUND(($I226)/(1-($I226)),5)*VLOOKUP(D226,[1]apoio_Preços_MGS!$A$6:$AN$238,40,FALSE)+VLOOKUP(D226,[1]apoio_Preços_MGS!$A$6:$AN$238,40,FALSE),2)</f>
        <v>577.14</v>
      </c>
      <c r="AR226" s="45">
        <f t="shared" si="94"/>
        <v>4039.98</v>
      </c>
      <c r="AS226" s="45">
        <f t="shared" si="91"/>
        <v>5379.6399999999994</v>
      </c>
      <c r="AT226" s="45">
        <f t="shared" si="92"/>
        <v>322778.39999999997</v>
      </c>
      <c r="AU226" s="62"/>
      <c r="AV226" s="46"/>
      <c r="AW226" s="47"/>
      <c r="AX226" s="48"/>
      <c r="AY226" s="49"/>
      <c r="BA226" s="48"/>
    </row>
    <row r="227" spans="1:53" ht="19.5" customHeight="1" x14ac:dyDescent="0.25">
      <c r="A227" s="33" t="str">
        <f t="shared" si="87"/>
        <v>106127440,02</v>
      </c>
      <c r="B227" s="33" t="str">
        <f t="shared" si="88"/>
        <v>1370,02</v>
      </c>
      <c r="C227" s="34" t="str">
        <f>VLOOKUP(D227,[1]apoio_Preços_MGS!$A$6:$B$238,2,FALSE)</f>
        <v>BOMBEIRO HIDRÁULICO</v>
      </c>
      <c r="D227" s="35">
        <v>137</v>
      </c>
      <c r="E227" s="33" t="str">
        <f>VLOOKUP(D227,[1]apoio_Preços_MGS!$A$6:$F$238,6,FALSE)</f>
        <v>BOMBEIRO HIDRÁULICO - (PERIC.) - DIARISTA DIURNO - 44H</v>
      </c>
      <c r="F227" s="36">
        <f>IFERROR(VLOOKUP(D227,'[1]apoio_cód catmas'!$B$2:$C$863,2,FALSE),0)</f>
        <v>106127</v>
      </c>
      <c r="G227" s="33" t="str">
        <f>IF(H227="N/A",VLOOKUP(F227&amp;40,'[1]apoio_cód catmas'!$A$1:$G$233,4,FALSE),VLOOKUP(F227&amp;H227,'[1]apoio_cód catmas'!$A$1:$G$233,4,FALSE))</f>
        <v>BOMBEIRO HIDRAULICO (PERICULOSIDADE) - 40H OU 44H</v>
      </c>
      <c r="H227" s="36">
        <v>44</v>
      </c>
      <c r="I227" s="37">
        <v>0.02</v>
      </c>
      <c r="J227" s="38" t="s">
        <v>46</v>
      </c>
      <c r="K227" s="39">
        <v>2</v>
      </c>
      <c r="L227" s="39">
        <f t="shared" si="77"/>
        <v>120</v>
      </c>
      <c r="M227" s="40">
        <f>VLOOKUP(D227,[1]apoio_Preços_MGS!$A$6:$AN$238,18,FALSE)</f>
        <v>2830.8276262195141</v>
      </c>
      <c r="N227" s="40">
        <f>VLOOKUP(D227,[1]apoio_Preços_MGS!$A$6:$AN$238,19,FALSE)</f>
        <v>849.24828786585419</v>
      </c>
      <c r="O227" s="40">
        <f>VLOOKUP(D227,[1]apoio_Preços_MGS!$A$6:$AN$238,20,FALSE)</f>
        <v>0</v>
      </c>
      <c r="P227" s="40">
        <f>VLOOKUP(D227,[1]apoio_Preços_MGS!$A$6:$AN$238,21,FALSE)</f>
        <v>0</v>
      </c>
      <c r="Q227" s="40">
        <f>VLOOKUP(D227,[1]apoio_Preços_MGS!$A$6:$AN$238,22,FALSE)</f>
        <v>0</v>
      </c>
      <c r="R227" s="40">
        <f>VLOOKUP(D227,[1]apoio_Preços_MGS!$A$6:$AN$238,23,FALSE)</f>
        <v>0</v>
      </c>
      <c r="S227" s="40">
        <f>VLOOKUP(D227,[1]apoio_Preços_MGS!$A$6:$AN$238,24,FALSE)</f>
        <v>0</v>
      </c>
      <c r="T227" s="40">
        <f>VLOOKUP(D227,[1]apoio_Preços_MGS!$A$6:$AN$238,25,FALSE)</f>
        <v>0</v>
      </c>
      <c r="U227" s="40">
        <f t="shared" si="75"/>
        <v>3680.0759140853684</v>
      </c>
      <c r="V227" s="41">
        <v>0.81799999999999995</v>
      </c>
      <c r="W227" s="40">
        <f t="shared" si="76"/>
        <v>3010.3020977218312</v>
      </c>
      <c r="X227" s="40">
        <f>VLOOKUP(D227,[1]apoio_Preços_MGS!$A$6:$AN$238,29,FALSE)</f>
        <v>19.18</v>
      </c>
      <c r="Y227" s="40">
        <f>VLOOKUP(D227,[1]apoio_Preços_MGS!$A$6:$AN$238,30,FALSE)</f>
        <v>53.397831978319772</v>
      </c>
      <c r="Z227" s="40">
        <f t="shared" si="78"/>
        <v>72.577831978319779</v>
      </c>
      <c r="AA227" s="40">
        <f>VLOOKUP(D227,[1]apoio_Preços_MGS!$A$6:$AN$238,32,FALSE)</f>
        <v>5.4351890423414666</v>
      </c>
      <c r="AB227" s="40">
        <f>VLOOKUP(D227,[1]apoio_Preços_MGS!$A$6:$AN$238,33,FALSE)</f>
        <v>187.48959024390248</v>
      </c>
      <c r="AC227" s="41">
        <f>VLOOKUP(D227,[1]apoio_Preços_MGS!$A$6:$AN$238,34,FALSE)</f>
        <v>3.283403000675289E-2</v>
      </c>
      <c r="AD227" s="40">
        <f>(U227+W227+Z227+AB227+AA227+VLOOKUP(C227,[1]apoio_Prec_Folha!$A:$S,7,FALSE))*AC227</f>
        <v>246.39236362123179</v>
      </c>
      <c r="AE227" s="42">
        <f>VLOOKUP(D227,[1]apoio_Preços_MGS!$A$6:$AN$238,36,FALSE)</f>
        <v>7.0000000000000007E-2</v>
      </c>
      <c r="AF227" s="40">
        <f>(U227+W227+Z227+AB227+AD227+AA227+VLOOKUP(C227,[1]apoio_Prec_Folha!$A:$S,7,FALSE))*AE227</f>
        <v>542.53983589777795</v>
      </c>
      <c r="AG227" s="40">
        <f t="shared" si="79"/>
        <v>7744.81</v>
      </c>
      <c r="AH227" s="43">
        <f t="shared" si="80"/>
        <v>8726.5400000000009</v>
      </c>
      <c r="AI227" s="43">
        <f t="shared" si="81"/>
        <v>17453.080000000002</v>
      </c>
      <c r="AJ227" s="43">
        <f t="shared" si="82"/>
        <v>1047184.8</v>
      </c>
      <c r="AK227" s="44">
        <f>VLOOKUP(D227,[1]apoio_Preços_MGS!$A$6:$AN$238,39,FALSE)</f>
        <v>200.00000000000003</v>
      </c>
      <c r="AL227" s="44">
        <f>IF(J227="demais municípios",VLOOKUP(D227,[1]apoio_Preços_MGS!$A$6:$AN$238,39,FALSE),0)</f>
        <v>200.00000000000003</v>
      </c>
      <c r="AM227" s="44">
        <v>0</v>
      </c>
      <c r="AN227" s="45">
        <f t="shared" ref="AN227:AN228" si="103">AK227*K227</f>
        <v>400.00000000000006</v>
      </c>
      <c r="AO227" s="44">
        <f>VLOOKUP(D227,[1]apoio_Preços_MGS!$A$6:$AN$238,40,FALSE)</f>
        <v>548.29</v>
      </c>
      <c r="AP227" s="44">
        <f>IF(J227="demais municípios",VLOOKUP(D227,[1]apoio_Preços_MGS!$A$6:$AN$238,40,FALSE),0)</f>
        <v>548.29</v>
      </c>
      <c r="AQ227" s="44">
        <v>0</v>
      </c>
      <c r="AR227" s="45">
        <f t="shared" ref="AR227:AR228" si="104">AO227*K227</f>
        <v>1096.58</v>
      </c>
      <c r="AS227" s="45">
        <f t="shared" si="91"/>
        <v>1496.58</v>
      </c>
      <c r="AT227" s="45">
        <f t="shared" si="92"/>
        <v>89794.799999999988</v>
      </c>
      <c r="AU227" s="62"/>
      <c r="AV227" s="46"/>
      <c r="AW227" s="47"/>
      <c r="AX227" s="48"/>
      <c r="AY227" s="49"/>
      <c r="BA227" s="48"/>
    </row>
    <row r="228" spans="1:53" ht="19.5" customHeight="1" x14ac:dyDescent="0.25">
      <c r="A228" s="33" t="str">
        <f t="shared" si="87"/>
        <v>106127440,03</v>
      </c>
      <c r="B228" s="33" t="str">
        <f t="shared" si="88"/>
        <v>1370,03</v>
      </c>
      <c r="C228" s="34" t="str">
        <f>VLOOKUP(D228,[1]apoio_Preços_MGS!$A$6:$B$238,2,FALSE)</f>
        <v>BOMBEIRO HIDRÁULICO</v>
      </c>
      <c r="D228" s="35">
        <v>137</v>
      </c>
      <c r="E228" s="33" t="str">
        <f>VLOOKUP(D228,[1]apoio_Preços_MGS!$A$6:$F$238,6,FALSE)</f>
        <v>BOMBEIRO HIDRÁULICO - (PERIC.) - DIARISTA DIURNO - 44H</v>
      </c>
      <c r="F228" s="36">
        <f>IFERROR(VLOOKUP(D228,'[1]apoio_cód catmas'!$B$2:$C$863,2,FALSE),0)</f>
        <v>106127</v>
      </c>
      <c r="G228" s="33" t="str">
        <f>IF(H228="N/A",VLOOKUP(F228&amp;40,'[1]apoio_cód catmas'!$A$1:$G$233,4,FALSE),VLOOKUP(F228&amp;H228,'[1]apoio_cód catmas'!$A$1:$G$233,4,FALSE))</f>
        <v>BOMBEIRO HIDRAULICO (PERICULOSIDADE) - 40H OU 44H</v>
      </c>
      <c r="H228" s="36">
        <v>44</v>
      </c>
      <c r="I228" s="37">
        <v>0.03</v>
      </c>
      <c r="J228" s="38" t="s">
        <v>46</v>
      </c>
      <c r="K228" s="39">
        <v>2</v>
      </c>
      <c r="L228" s="39">
        <f t="shared" si="77"/>
        <v>120</v>
      </c>
      <c r="M228" s="40">
        <f>VLOOKUP(D228,[1]apoio_Preços_MGS!$A$6:$AN$238,18,FALSE)</f>
        <v>2830.8276262195141</v>
      </c>
      <c r="N228" s="40">
        <f>VLOOKUP(D228,[1]apoio_Preços_MGS!$A$6:$AN$238,19,FALSE)</f>
        <v>849.24828786585419</v>
      </c>
      <c r="O228" s="40">
        <f>VLOOKUP(D228,[1]apoio_Preços_MGS!$A$6:$AN$238,20,FALSE)</f>
        <v>0</v>
      </c>
      <c r="P228" s="40">
        <f>VLOOKUP(D228,[1]apoio_Preços_MGS!$A$6:$AN$238,21,FALSE)</f>
        <v>0</v>
      </c>
      <c r="Q228" s="40">
        <f>VLOOKUP(D228,[1]apoio_Preços_MGS!$A$6:$AN$238,22,FALSE)</f>
        <v>0</v>
      </c>
      <c r="R228" s="40">
        <f>VLOOKUP(D228,[1]apoio_Preços_MGS!$A$6:$AN$238,23,FALSE)</f>
        <v>0</v>
      </c>
      <c r="S228" s="40">
        <f>VLOOKUP(D228,[1]apoio_Preços_MGS!$A$6:$AN$238,24,FALSE)</f>
        <v>0</v>
      </c>
      <c r="T228" s="40">
        <f>VLOOKUP(D228,[1]apoio_Preços_MGS!$A$6:$AN$238,25,FALSE)</f>
        <v>0</v>
      </c>
      <c r="U228" s="40">
        <f t="shared" si="75"/>
        <v>3680.0759140853684</v>
      </c>
      <c r="V228" s="41">
        <f>VLOOKUP(D228,[1]apoio_Preços_MGS!$A$6:$AN$238,27,FALSE)</f>
        <v>0.81799999999999995</v>
      </c>
      <c r="W228" s="40">
        <f t="shared" si="76"/>
        <v>3010.3020977218312</v>
      </c>
      <c r="X228" s="40">
        <f>VLOOKUP(D228,[1]apoio_Preços_MGS!$A$6:$AN$238,29,FALSE)</f>
        <v>19.18</v>
      </c>
      <c r="Y228" s="40">
        <f>VLOOKUP(D228,[1]apoio_Preços_MGS!$A$6:$AN$238,30,FALSE)</f>
        <v>53.397831978319772</v>
      </c>
      <c r="Z228" s="40">
        <f t="shared" si="78"/>
        <v>72.577831978319779</v>
      </c>
      <c r="AA228" s="40">
        <f>VLOOKUP(D228,[1]apoio_Preços_MGS!$A$6:$AN$238,32,FALSE)</f>
        <v>5.4351890423414666</v>
      </c>
      <c r="AB228" s="40">
        <f>VLOOKUP(D228,[1]apoio_Preços_MGS!$A$6:$AN$238,33,FALSE)</f>
        <v>187.48959024390248</v>
      </c>
      <c r="AC228" s="41">
        <f>VLOOKUP(D228,[1]apoio_Preços_MGS!$A$6:$AN$238,34,FALSE)</f>
        <v>3.283403000675289E-2</v>
      </c>
      <c r="AD228" s="40">
        <f>(U228+W228+Z228+AB228+AA228+VLOOKUP(C228,[1]apoio_Prec_Folha!$A:$S,7,FALSE))*AC228</f>
        <v>246.39236362123179</v>
      </c>
      <c r="AE228" s="42">
        <f>VLOOKUP(D228,[1]apoio_Preços_MGS!$A$6:$AN$238,36,FALSE)</f>
        <v>7.0000000000000007E-2</v>
      </c>
      <c r="AF228" s="40">
        <f>(U228+W228+Z228+AB228+AD228+AA228+VLOOKUP(C228,[1]apoio_Prec_Folha!$A:$S,7,FALSE))*AE228</f>
        <v>542.53983589777795</v>
      </c>
      <c r="AG228" s="40">
        <f t="shared" si="79"/>
        <v>7744.81</v>
      </c>
      <c r="AH228" s="43">
        <f t="shared" si="80"/>
        <v>8825.98</v>
      </c>
      <c r="AI228" s="43">
        <f t="shared" si="81"/>
        <v>17651.96</v>
      </c>
      <c r="AJ228" s="43">
        <f t="shared" si="82"/>
        <v>1059117.5999999999</v>
      </c>
      <c r="AK228" s="44">
        <f>VLOOKUP(D228,[1]apoio_Preços_MGS!$A$6:$AN$238,39,FALSE)</f>
        <v>200.00000000000003</v>
      </c>
      <c r="AL228" s="44">
        <f>IF(J228="demais municípios",VLOOKUP(D228,[1]apoio_Preços_MGS!$A$6:$AN$238,39,FALSE),0)</f>
        <v>200.00000000000003</v>
      </c>
      <c r="AM228" s="44">
        <v>0</v>
      </c>
      <c r="AN228" s="45">
        <f t="shared" si="103"/>
        <v>400.00000000000006</v>
      </c>
      <c r="AO228" s="44">
        <f>VLOOKUP(D228,[1]apoio_Preços_MGS!$A$6:$AN$238,40,FALSE)</f>
        <v>548.29</v>
      </c>
      <c r="AP228" s="44">
        <f>IF(J228="demais municípios",VLOOKUP(D228,[1]apoio_Preços_MGS!$A$6:$AN$238,40,FALSE),0)</f>
        <v>548.29</v>
      </c>
      <c r="AQ228" s="44">
        <v>0</v>
      </c>
      <c r="AR228" s="45">
        <f t="shared" si="104"/>
        <v>1096.58</v>
      </c>
      <c r="AS228" s="45">
        <f t="shared" si="91"/>
        <v>1496.58</v>
      </c>
      <c r="AT228" s="45">
        <f t="shared" si="92"/>
        <v>89794.799999999988</v>
      </c>
      <c r="AU228" s="62"/>
      <c r="AV228" s="46"/>
      <c r="AW228" s="47"/>
      <c r="AX228" s="48"/>
      <c r="AY228" s="49"/>
      <c r="BA228" s="48"/>
    </row>
    <row r="229" spans="1:53" ht="19.5" customHeight="1" x14ac:dyDescent="0.25">
      <c r="A229" s="33" t="str">
        <f t="shared" si="87"/>
        <v>106127440,05</v>
      </c>
      <c r="B229" s="33" t="str">
        <f t="shared" si="88"/>
        <v>1370,05</v>
      </c>
      <c r="C229" s="34" t="str">
        <f>VLOOKUP(D229,[1]apoio_Preços_MGS!$A$6:$B$238,2,FALSE)</f>
        <v>BOMBEIRO HIDRÁULICO</v>
      </c>
      <c r="D229" s="35">
        <v>137</v>
      </c>
      <c r="E229" s="33" t="str">
        <f>VLOOKUP(D229,[1]apoio_Preços_MGS!$A$6:$F$238,6,FALSE)</f>
        <v>BOMBEIRO HIDRÁULICO - (PERIC.) - DIARISTA DIURNO - 44H</v>
      </c>
      <c r="F229" s="36">
        <f>IFERROR(VLOOKUP(D229,'[1]apoio_cód catmas'!$B$2:$C$863,2,FALSE),0)</f>
        <v>106127</v>
      </c>
      <c r="G229" s="33" t="str">
        <f>IF(H229="N/A",VLOOKUP(F229&amp;40,'[1]apoio_cód catmas'!$A$1:$G$233,4,FALSE),VLOOKUP(F229&amp;H229,'[1]apoio_cód catmas'!$A$1:$G$233,4,FALSE))</f>
        <v>BOMBEIRO HIDRAULICO (PERICULOSIDADE) - 40H OU 44H</v>
      </c>
      <c r="H229" s="36">
        <v>44</v>
      </c>
      <c r="I229" s="37">
        <v>0.05</v>
      </c>
      <c r="J229" s="38" t="s">
        <v>47</v>
      </c>
      <c r="K229" s="39">
        <v>16</v>
      </c>
      <c r="L229" s="39">
        <f t="shared" si="77"/>
        <v>960</v>
      </c>
      <c r="M229" s="40">
        <f>VLOOKUP(D229,[1]apoio_Preços_MGS!$A$6:$AN$238,18,FALSE)</f>
        <v>2830.8276262195141</v>
      </c>
      <c r="N229" s="40">
        <f>VLOOKUP(D229,[1]apoio_Preços_MGS!$A$6:$AN$238,19,FALSE)</f>
        <v>849.24828786585419</v>
      </c>
      <c r="O229" s="40">
        <f>VLOOKUP(D229,[1]apoio_Preços_MGS!$A$6:$AN$238,20,FALSE)</f>
        <v>0</v>
      </c>
      <c r="P229" s="40">
        <f>VLOOKUP(D229,[1]apoio_Preços_MGS!$A$6:$AN$238,21,FALSE)</f>
        <v>0</v>
      </c>
      <c r="Q229" s="40">
        <f>VLOOKUP(D229,[1]apoio_Preços_MGS!$A$6:$AN$238,22,FALSE)</f>
        <v>0</v>
      </c>
      <c r="R229" s="40">
        <f>VLOOKUP(D229,[1]apoio_Preços_MGS!$A$6:$AN$238,23,FALSE)</f>
        <v>0</v>
      </c>
      <c r="S229" s="40">
        <f>VLOOKUP(D229,[1]apoio_Preços_MGS!$A$6:$AN$238,24,FALSE)</f>
        <v>0</v>
      </c>
      <c r="T229" s="40">
        <f>VLOOKUP(D229,[1]apoio_Preços_MGS!$A$6:$AN$238,25,FALSE)</f>
        <v>0</v>
      </c>
      <c r="U229" s="40">
        <f t="shared" si="75"/>
        <v>3680.0759140853684</v>
      </c>
      <c r="V229" s="41">
        <f>VLOOKUP(D229,[1]apoio_Preços_MGS!$A$6:$AN$238,27,FALSE)</f>
        <v>0.81799999999999995</v>
      </c>
      <c r="W229" s="40">
        <f t="shared" si="76"/>
        <v>3010.3020977218312</v>
      </c>
      <c r="X229" s="40">
        <f>VLOOKUP(D229,[1]apoio_Preços_MGS!$A$6:$AN$238,29,FALSE)</f>
        <v>19.18</v>
      </c>
      <c r="Y229" s="40">
        <f>VLOOKUP(D229,[1]apoio_Preços_MGS!$A$6:$AN$238,30,FALSE)</f>
        <v>53.397831978319772</v>
      </c>
      <c r="Z229" s="40">
        <f t="shared" si="78"/>
        <v>72.577831978319779</v>
      </c>
      <c r="AA229" s="40">
        <f>VLOOKUP(D229,[1]apoio_Preços_MGS!$A$6:$AN$238,32,FALSE)</f>
        <v>5.4351890423414666</v>
      </c>
      <c r="AB229" s="40">
        <f>VLOOKUP(D229,[1]apoio_Preços_MGS!$A$6:$AN$238,33,FALSE)</f>
        <v>187.48959024390248</v>
      </c>
      <c r="AC229" s="41">
        <f>VLOOKUP(D229,[1]apoio_Preços_MGS!$A$6:$AN$238,34,FALSE)</f>
        <v>3.283403000675289E-2</v>
      </c>
      <c r="AD229" s="40">
        <f>(U229+W229+Z229+AB229+AA229+VLOOKUP(C229,[1]apoio_Prec_Folha!$A:$S,7,FALSE))*AC229</f>
        <v>246.39236362123179</v>
      </c>
      <c r="AE229" s="42">
        <f>VLOOKUP(D229,[1]apoio_Preços_MGS!$A$6:$AN$238,36,FALSE)</f>
        <v>7.0000000000000007E-2</v>
      </c>
      <c r="AF229" s="40">
        <f>(U229+W229+Z229+AB229+AD229+AA229+VLOOKUP(C229,[1]apoio_Prec_Folha!$A:$S,7,FALSE))*AE229</f>
        <v>542.53983589777795</v>
      </c>
      <c r="AG229" s="40">
        <f t="shared" si="79"/>
        <v>7744.81</v>
      </c>
      <c r="AH229" s="43">
        <f t="shared" si="80"/>
        <v>9031.84</v>
      </c>
      <c r="AI229" s="43">
        <f t="shared" si="81"/>
        <v>144509.44</v>
      </c>
      <c r="AJ229" s="43">
        <f t="shared" si="82"/>
        <v>8670566.4000000004</v>
      </c>
      <c r="AK229" s="44">
        <f>VLOOKUP(D229,[1]apoio_Preços_MGS!$A$6:$AN$238,39,FALSE)</f>
        <v>200.00000000000003</v>
      </c>
      <c r="AL229" s="44">
        <f>IF(J229="demais municípios",VLOOKUP(D229,[1]apoio_Preços_MGS!$A$6:$AN$238,39,FALSE),0)</f>
        <v>0</v>
      </c>
      <c r="AM229" s="44">
        <f>TRUNC(ROUND(($I229)/(1-($I229)),5)*VLOOKUP(D229,[1]apoio_Preços_MGS!$A$6:$AN$238,39,FALSE)+VLOOKUP(D229,[1]apoio_Preços_MGS!$A$6:$AN$238,39,FALSE),2)</f>
        <v>210.52</v>
      </c>
      <c r="AN229" s="45">
        <f t="shared" si="93"/>
        <v>3368.32</v>
      </c>
      <c r="AO229" s="44">
        <f>VLOOKUP(D229,[1]apoio_Preços_MGS!$A$6:$AN$238,40,FALSE)</f>
        <v>548.29</v>
      </c>
      <c r="AP229" s="44">
        <f>IF(J229="demais municípios",VLOOKUP(D229,[1]apoio_Preços_MGS!$A$6:$AN$238,40,FALSE),0)</f>
        <v>0</v>
      </c>
      <c r="AQ229" s="44">
        <f>TRUNC(ROUND(($I229)/(1-($I229)),5)*VLOOKUP(D229,[1]apoio_Preços_MGS!$A$6:$AN$238,40,FALSE)+VLOOKUP(D229,[1]apoio_Preços_MGS!$A$6:$AN$238,40,FALSE),2)</f>
        <v>577.14</v>
      </c>
      <c r="AR229" s="45">
        <f t="shared" si="94"/>
        <v>9234.24</v>
      </c>
      <c r="AS229" s="45">
        <f t="shared" si="91"/>
        <v>12602.56</v>
      </c>
      <c r="AT229" s="45">
        <f t="shared" si="92"/>
        <v>756153.6</v>
      </c>
      <c r="AU229" s="62"/>
      <c r="AV229" s="46"/>
      <c r="AW229" s="47"/>
      <c r="AX229" s="48"/>
      <c r="AY229" s="49"/>
      <c r="BA229" s="48"/>
    </row>
    <row r="230" spans="1:53" ht="19.5" customHeight="1" x14ac:dyDescent="0.25">
      <c r="A230" s="33" t="str">
        <f t="shared" si="87"/>
        <v>106135440,05</v>
      </c>
      <c r="B230" s="33" t="str">
        <f t="shared" si="88"/>
        <v>4130,05</v>
      </c>
      <c r="C230" s="34" t="str">
        <f>VLOOKUP(D230,[1]apoio_Preços_MGS!$A$6:$B$238,2,FALSE)</f>
        <v>CAMAREIRA DE HOSPITAIS</v>
      </c>
      <c r="D230" s="35">
        <v>413</v>
      </c>
      <c r="E230" s="33" t="str">
        <f>VLOOKUP(D230,[1]apoio_Preços_MGS!$A$6:$F$238,6,FALSE)</f>
        <v>CAMAREIRA DE HOSPITAIS - 12x36 DIURNO - 44H</v>
      </c>
      <c r="F230" s="36">
        <f>IFERROR(VLOOKUP(D230,'[1]apoio_cód catmas'!$B$2:$C$863,2,FALSE),0)</f>
        <v>106135</v>
      </c>
      <c r="G230" s="33" t="str">
        <f>IF(H230="N/A",VLOOKUP(F230&amp;40,'[1]apoio_cód catmas'!$A$1:$G$233,4,FALSE),VLOOKUP(F230&amp;H230,'[1]apoio_cód catmas'!$A$1:$G$233,4,FALSE))</f>
        <v>CAMAREIRA DE HOSPITAIS 12 X 36  DIURNO - 44H</v>
      </c>
      <c r="H230" s="36">
        <v>44</v>
      </c>
      <c r="I230" s="37">
        <v>0.05</v>
      </c>
      <c r="J230" s="38" t="s">
        <v>47</v>
      </c>
      <c r="K230" s="39">
        <v>32</v>
      </c>
      <c r="L230" s="39">
        <f t="shared" si="77"/>
        <v>1920</v>
      </c>
      <c r="M230" s="40">
        <f>VLOOKUP(D230,[1]apoio_Preços_MGS!$A$6:$AN$238,18,FALSE)</f>
        <v>1772.8039999999994</v>
      </c>
      <c r="N230" s="40">
        <f>VLOOKUP(D230,[1]apoio_Preços_MGS!$A$6:$AN$238,19,FALSE)</f>
        <v>0</v>
      </c>
      <c r="O230" s="40">
        <f>VLOOKUP(D230,[1]apoio_Preços_MGS!$A$6:$AN$238,20,FALSE)</f>
        <v>0</v>
      </c>
      <c r="P230" s="40">
        <f>VLOOKUP(D230,[1]apoio_Preços_MGS!$A$6:$AN$238,21,FALSE)</f>
        <v>0</v>
      </c>
      <c r="Q230" s="40">
        <f>VLOOKUP(D230,[1]apoio_Preços_MGS!$A$6:$AN$238,22,FALSE)</f>
        <v>0</v>
      </c>
      <c r="R230" s="40">
        <f>VLOOKUP(D230,[1]apoio_Preços_MGS!$A$6:$AN$238,23,FALSE)</f>
        <v>0</v>
      </c>
      <c r="S230" s="40">
        <f>VLOOKUP(D230,[1]apoio_Preços_MGS!$A$6:$AN$238,24,FALSE)</f>
        <v>0</v>
      </c>
      <c r="T230" s="40">
        <f>VLOOKUP(D230,[1]apoio_Preços_MGS!$A$6:$AN$238,25,FALSE)</f>
        <v>2.4622277777777772</v>
      </c>
      <c r="U230" s="40">
        <f t="shared" si="75"/>
        <v>1775.2662277777772</v>
      </c>
      <c r="V230" s="41">
        <v>0.81799999999999995</v>
      </c>
      <c r="W230" s="40">
        <f t="shared" si="76"/>
        <v>1452.1677743222217</v>
      </c>
      <c r="X230" s="40">
        <f>VLOOKUP(D230,[1]apoio_Preços_MGS!$A$6:$AN$238,29,FALSE)</f>
        <v>45.232727272727274</v>
      </c>
      <c r="Y230" s="40">
        <f>VLOOKUP(D230,[1]apoio_Preços_MGS!$A$6:$AN$238,30,FALSE)</f>
        <v>97</v>
      </c>
      <c r="Z230" s="40">
        <f t="shared" si="78"/>
        <v>142.23272727272729</v>
      </c>
      <c r="AA230" s="40">
        <f>VLOOKUP(D230,[1]apoio_Preços_MGS!$A$6:$AN$238,32,FALSE)</f>
        <v>3.4037836799999988</v>
      </c>
      <c r="AB230" s="40">
        <f>VLOOKUP(D230,[1]apoio_Preços_MGS!$A$6:$AN$238,33,FALSE)</f>
        <v>188.47763809523809</v>
      </c>
      <c r="AC230" s="41">
        <f>VLOOKUP(D230,[1]apoio_Preços_MGS!$A$6:$AN$238,34,FALSE)</f>
        <v>0</v>
      </c>
      <c r="AD230" s="40">
        <f>(U230+W230+Z230+AB230+AA230+VLOOKUP(C230,[1]apoio_Prec_Folha!$A:$S,7,FALSE))*AC230</f>
        <v>0</v>
      </c>
      <c r="AE230" s="42">
        <f>VLOOKUP(D230,[1]apoio_Preços_MGS!$A$6:$AN$238,36,FALSE)</f>
        <v>7.0000000000000007E-2</v>
      </c>
      <c r="AF230" s="40">
        <f>(U230+W230+Z230+AB230+AD230+AA230+VLOOKUP(C230,[1]apoio_Prec_Folha!$A:$S,7,FALSE))*AE230</f>
        <v>287.9189705803575</v>
      </c>
      <c r="AG230" s="40">
        <f t="shared" si="79"/>
        <v>3849.46</v>
      </c>
      <c r="AH230" s="43">
        <f t="shared" si="80"/>
        <v>4489.16</v>
      </c>
      <c r="AI230" s="43">
        <f t="shared" si="81"/>
        <v>143653.12</v>
      </c>
      <c r="AJ230" s="43">
        <f t="shared" si="82"/>
        <v>8619187.1999999993</v>
      </c>
      <c r="AK230" s="44">
        <f>VLOOKUP(D230,[1]apoio_Preços_MGS!$A$6:$AN$238,39,FALSE)</f>
        <v>200.00000000000003</v>
      </c>
      <c r="AL230" s="44">
        <f>IF(J230="demais municípios",VLOOKUP(D230,[1]apoio_Preços_MGS!$A$6:$AN$238,39,FALSE),0)</f>
        <v>0</v>
      </c>
      <c r="AM230" s="44">
        <f>TRUNC(ROUND(($I230)/(1-($I230)),5)*VLOOKUP(D230,[1]apoio_Preços_MGS!$A$6:$AN$238,39,FALSE)+VLOOKUP(D230,[1]apoio_Preços_MGS!$A$6:$AN$238,39,FALSE),2)</f>
        <v>210.52</v>
      </c>
      <c r="AN230" s="45">
        <f t="shared" si="93"/>
        <v>6736.64</v>
      </c>
      <c r="AO230" s="44">
        <f>VLOOKUP(D230,[1]apoio_Preços_MGS!$A$6:$AN$238,40,FALSE)</f>
        <v>551.58000000000004</v>
      </c>
      <c r="AP230" s="44">
        <f>IF(J230="demais municípios",VLOOKUP(D230,[1]apoio_Preços_MGS!$A$6:$AN$238,40,FALSE),0)</f>
        <v>0</v>
      </c>
      <c r="AQ230" s="44">
        <f>TRUNC(ROUND(($I230)/(1-($I230)),5)*VLOOKUP(D230,[1]apoio_Preços_MGS!$A$6:$AN$238,40,FALSE)+VLOOKUP(D230,[1]apoio_Preços_MGS!$A$6:$AN$238,40,FALSE),2)</f>
        <v>580.6</v>
      </c>
      <c r="AR230" s="45">
        <f t="shared" si="94"/>
        <v>18579.2</v>
      </c>
      <c r="AS230" s="45">
        <f t="shared" si="91"/>
        <v>25315.84</v>
      </c>
      <c r="AT230" s="45">
        <f t="shared" si="92"/>
        <v>1518950.3999999999</v>
      </c>
      <c r="AU230" s="62"/>
      <c r="AV230" s="46"/>
      <c r="AW230" s="47"/>
      <c r="AX230" s="48"/>
      <c r="AY230" s="49"/>
      <c r="BA230" s="48"/>
    </row>
    <row r="231" spans="1:53" ht="19.5" customHeight="1" x14ac:dyDescent="0.25">
      <c r="A231" s="33" t="str">
        <f t="shared" si="87"/>
        <v>106143440,05</v>
      </c>
      <c r="B231" s="33" t="str">
        <f t="shared" si="88"/>
        <v>4140,05</v>
      </c>
      <c r="C231" s="34" t="str">
        <f>VLOOKUP(D231,[1]apoio_Preços_MGS!$A$6:$B$238,2,FALSE)</f>
        <v>CAMAREIRA DE HOSPITAIS</v>
      </c>
      <c r="D231" s="35">
        <v>414</v>
      </c>
      <c r="E231" s="33" t="str">
        <f>VLOOKUP(D231,[1]apoio_Preços_MGS!$A$6:$F$238,6,FALSE)</f>
        <v>CAMAREIRA DE HOSPITAIS - 12x36 NOTURNO - 44H</v>
      </c>
      <c r="F231" s="36">
        <f>IFERROR(VLOOKUP(D231,'[1]apoio_cód catmas'!$B$2:$C$863,2,FALSE),0)</f>
        <v>106143</v>
      </c>
      <c r="G231" s="33" t="str">
        <f>IF(H231="N/A",VLOOKUP(F231&amp;40,'[1]apoio_cód catmas'!$A$1:$G$233,4,FALSE),VLOOKUP(F231&amp;H231,'[1]apoio_cód catmas'!$A$1:$G$233,4,FALSE))</f>
        <v>CAMAREIRA DE HOSPITAIS 12X36 NOTURNO - 44H</v>
      </c>
      <c r="H231" s="36">
        <v>44</v>
      </c>
      <c r="I231" s="37">
        <v>0.05</v>
      </c>
      <c r="J231" s="38" t="s">
        <v>47</v>
      </c>
      <c r="K231" s="39">
        <v>16</v>
      </c>
      <c r="L231" s="39">
        <f t="shared" si="77"/>
        <v>960</v>
      </c>
      <c r="M231" s="40">
        <f>VLOOKUP(D231,[1]apoio_Preços_MGS!$A$6:$AN$238,18,FALSE)</f>
        <v>1772.8039999999994</v>
      </c>
      <c r="N231" s="40">
        <f>VLOOKUP(D231,[1]apoio_Preços_MGS!$A$6:$AN$238,19,FALSE)</f>
        <v>0</v>
      </c>
      <c r="O231" s="40">
        <f>VLOOKUP(D231,[1]apoio_Preços_MGS!$A$6:$AN$238,20,FALSE)</f>
        <v>412.99145912384029</v>
      </c>
      <c r="P231" s="40">
        <f>VLOOKUP(D231,[1]apoio_Preços_MGS!$A$6:$AN$238,21,FALSE)</f>
        <v>9.0149694951908401</v>
      </c>
      <c r="Q231" s="40">
        <f>VLOOKUP(D231,[1]apoio_Preços_MGS!$A$6:$AN$238,22,FALSE)</f>
        <v>33.806125465124964</v>
      </c>
      <c r="R231" s="40">
        <f>VLOOKUP(D231,[1]apoio_Preços_MGS!$A$6:$AN$238,23,FALSE)</f>
        <v>0</v>
      </c>
      <c r="S231" s="40">
        <f>VLOOKUP(D231,[1]apoio_Preços_MGS!$A$6:$AN$238,24,FALSE)</f>
        <v>0</v>
      </c>
      <c r="T231" s="40">
        <f>VLOOKUP(D231,[1]apoio_Preços_MGS!$A$6:$AN$238,25,FALSE)</f>
        <v>2.4622277777777772</v>
      </c>
      <c r="U231" s="40">
        <f t="shared" si="75"/>
        <v>2231.0787818619328</v>
      </c>
      <c r="V231" s="41">
        <v>0.81799999999999995</v>
      </c>
      <c r="W231" s="40">
        <f t="shared" si="76"/>
        <v>1825.022443563061</v>
      </c>
      <c r="X231" s="40">
        <f>VLOOKUP(D231,[1]apoio_Preços_MGS!$A$6:$AN$238,29,FALSE)</f>
        <v>45.232727272727274</v>
      </c>
      <c r="Y231" s="40">
        <f>VLOOKUP(D231,[1]apoio_Preços_MGS!$A$6:$AN$238,30,FALSE)</f>
        <v>97</v>
      </c>
      <c r="Z231" s="40">
        <f t="shared" si="78"/>
        <v>142.23272727272729</v>
      </c>
      <c r="AA231" s="40">
        <f>VLOOKUP(D231,[1]apoio_Preços_MGS!$A$6:$AN$238,32,FALSE)</f>
        <v>3.4037836799999988</v>
      </c>
      <c r="AB231" s="40">
        <f>VLOOKUP(D231,[1]apoio_Preços_MGS!$A$6:$AN$238,33,FALSE)</f>
        <v>188.47763809523809</v>
      </c>
      <c r="AC231" s="41">
        <f>VLOOKUP(D231,[1]apoio_Preços_MGS!$A$6:$AN$238,34,FALSE)</f>
        <v>0</v>
      </c>
      <c r="AD231" s="40">
        <f>(U231+W231+Z231+AB231+AA231+VLOOKUP(C231,[1]apoio_Prec_Folha!$A:$S,7,FALSE))*AC231</f>
        <v>0</v>
      </c>
      <c r="AE231" s="42">
        <f>VLOOKUP(D231,[1]apoio_Preços_MGS!$A$6:$AN$238,36,FALSE)</f>
        <v>7.0000000000000007E-2</v>
      </c>
      <c r="AF231" s="40">
        <f>(U231+W231+Z231+AB231+AD231+AA231+VLOOKUP(C231,[1]apoio_Prec_Folha!$A:$S,7,FALSE))*AE231</f>
        <v>345.92567621310712</v>
      </c>
      <c r="AG231" s="40">
        <f t="shared" si="79"/>
        <v>4736.1400000000003</v>
      </c>
      <c r="AH231" s="43">
        <f t="shared" si="80"/>
        <v>5523.19</v>
      </c>
      <c r="AI231" s="43">
        <f t="shared" si="81"/>
        <v>88371.04</v>
      </c>
      <c r="AJ231" s="43">
        <f t="shared" si="82"/>
        <v>5302262.3999999994</v>
      </c>
      <c r="AK231" s="44">
        <f>VLOOKUP(D231,[1]apoio_Preços_MGS!$A$6:$AN$238,39,FALSE)</f>
        <v>200.00000000000003</v>
      </c>
      <c r="AL231" s="44">
        <f>IF(J231="demais municípios",VLOOKUP(D231,[1]apoio_Preços_MGS!$A$6:$AN$238,39,FALSE),0)</f>
        <v>0</v>
      </c>
      <c r="AM231" s="44">
        <f>TRUNC(ROUND(($I231)/(1-($I231)),5)*VLOOKUP(D231,[1]apoio_Preços_MGS!$A$6:$AN$238,39,FALSE)+VLOOKUP(D231,[1]apoio_Preços_MGS!$A$6:$AN$238,39,FALSE),2)</f>
        <v>210.52</v>
      </c>
      <c r="AN231" s="45">
        <f t="shared" si="93"/>
        <v>3368.32</v>
      </c>
      <c r="AO231" s="44">
        <f>VLOOKUP(D231,[1]apoio_Preços_MGS!$A$6:$AN$238,40,FALSE)</f>
        <v>551.58000000000004</v>
      </c>
      <c r="AP231" s="44">
        <f>IF(J231="demais municípios",VLOOKUP(D231,[1]apoio_Preços_MGS!$A$6:$AN$238,40,FALSE),0)</f>
        <v>0</v>
      </c>
      <c r="AQ231" s="44">
        <f>TRUNC(ROUND(($I231)/(1-($I231)),5)*VLOOKUP(D231,[1]apoio_Preços_MGS!$A$6:$AN$238,40,FALSE)+VLOOKUP(D231,[1]apoio_Preços_MGS!$A$6:$AN$238,40,FALSE),2)</f>
        <v>580.6</v>
      </c>
      <c r="AR231" s="45">
        <f t="shared" si="94"/>
        <v>9289.6</v>
      </c>
      <c r="AS231" s="45">
        <f t="shared" si="91"/>
        <v>12657.92</v>
      </c>
      <c r="AT231" s="45">
        <f t="shared" si="92"/>
        <v>759475.19999999995</v>
      </c>
      <c r="AU231" s="62"/>
      <c r="AV231" s="46"/>
      <c r="AW231" s="47"/>
      <c r="AX231" s="48"/>
      <c r="AY231" s="49"/>
      <c r="BA231" s="48"/>
    </row>
    <row r="232" spans="1:53" ht="19.5" customHeight="1" x14ac:dyDescent="0.25">
      <c r="A232" s="33" t="str">
        <f t="shared" si="87"/>
        <v>106178440,02</v>
      </c>
      <c r="B232" s="33" t="str">
        <f t="shared" si="88"/>
        <v>1920,02</v>
      </c>
      <c r="C232" s="34" t="str">
        <f>VLOOKUP(D232,[1]apoio_Preços_MGS!$A$6:$B$238,2,FALSE)</f>
        <v>COPEIRO</v>
      </c>
      <c r="D232" s="35">
        <v>192</v>
      </c>
      <c r="E232" s="33" t="str">
        <f>VLOOKUP(D232,[1]apoio_Preços_MGS!$A$6:$F$238,6,FALSE)</f>
        <v>COPEIRO - 12x36 DIURNO - 44H</v>
      </c>
      <c r="F232" s="36">
        <f>IFERROR(VLOOKUP(D232,'[1]apoio_cód catmas'!$B$2:$C$863,2,FALSE),0)</f>
        <v>106178</v>
      </c>
      <c r="G232" s="33" t="str">
        <f>IF(H232="N/A",VLOOKUP(F232&amp;40,'[1]apoio_cód catmas'!$A$1:$G$233,4,FALSE),VLOOKUP(F232&amp;H232,'[1]apoio_cód catmas'!$A$1:$G$233,4,FALSE))</f>
        <v>COPEIRO - 12X36 DIURNO - 44H</v>
      </c>
      <c r="H232" s="36">
        <v>44</v>
      </c>
      <c r="I232" s="37">
        <v>0.02</v>
      </c>
      <c r="J232" s="38" t="s">
        <v>46</v>
      </c>
      <c r="K232" s="39">
        <v>5</v>
      </c>
      <c r="L232" s="39">
        <f t="shared" si="77"/>
        <v>300</v>
      </c>
      <c r="M232" s="40">
        <f>VLOOKUP(D232,[1]apoio_Preços_MGS!$A$6:$AN$238,18,FALSE)</f>
        <v>1874.4100050803386</v>
      </c>
      <c r="N232" s="40">
        <f>VLOOKUP(D232,[1]apoio_Preços_MGS!$A$6:$AN$238,19,FALSE)</f>
        <v>0</v>
      </c>
      <c r="O232" s="40">
        <f>VLOOKUP(D232,[1]apoio_Preços_MGS!$A$6:$AN$238,20,FALSE)</f>
        <v>0</v>
      </c>
      <c r="P232" s="40">
        <f>VLOOKUP(D232,[1]apoio_Preços_MGS!$A$6:$AN$238,21,FALSE)</f>
        <v>0</v>
      </c>
      <c r="Q232" s="40">
        <f>VLOOKUP(D232,[1]apoio_Preços_MGS!$A$6:$AN$238,22,FALSE)</f>
        <v>0</v>
      </c>
      <c r="R232" s="40">
        <f>VLOOKUP(D232,[1]apoio_Preços_MGS!$A$6:$AN$238,23,FALSE)</f>
        <v>0</v>
      </c>
      <c r="S232" s="40">
        <f>VLOOKUP(D232,[1]apoio_Preços_MGS!$A$6:$AN$238,24,FALSE)</f>
        <v>0</v>
      </c>
      <c r="T232" s="40">
        <f>VLOOKUP(D232,[1]apoio_Preços_MGS!$A$6:$AN$238,25,FALSE)</f>
        <v>2.6033472292782478</v>
      </c>
      <c r="U232" s="40">
        <f t="shared" si="75"/>
        <v>1877.0133523096167</v>
      </c>
      <c r="V232" s="41">
        <v>0.81799999999999995</v>
      </c>
      <c r="W232" s="40">
        <f t="shared" si="76"/>
        <v>1535.3969221892664</v>
      </c>
      <c r="X232" s="40">
        <f>VLOOKUP(D232,[1]apoio_Preços_MGS!$A$6:$AN$238,29,FALSE)</f>
        <v>51.978333333333332</v>
      </c>
      <c r="Y232" s="40">
        <f>VLOOKUP(D232,[1]apoio_Preços_MGS!$A$6:$AN$238,30,FALSE)</f>
        <v>30.240899280575537</v>
      </c>
      <c r="Z232" s="40">
        <f t="shared" si="78"/>
        <v>82.219232613908872</v>
      </c>
      <c r="AA232" s="40">
        <f>VLOOKUP(D232,[1]apoio_Preços_MGS!$A$6:$AN$238,32,FALSE)</f>
        <v>3.5988672097542498</v>
      </c>
      <c r="AB232" s="40">
        <f>VLOOKUP(D232,[1]apoio_Preços_MGS!$A$6:$AN$238,33,FALSE)</f>
        <v>154.19605323740996</v>
      </c>
      <c r="AC232" s="41">
        <f>VLOOKUP(D232,[1]apoio_Preços_MGS!$A$6:$AN$238,34,FALSE)</f>
        <v>3.4228710630741767E-2</v>
      </c>
      <c r="AD232" s="40">
        <f>(U232+W232+Z232+AB232+AA232+VLOOKUP(C232,[1]apoio_Prec_Folha!$A:$S,7,FALSE))*AC232</f>
        <v>143.91362279793654</v>
      </c>
      <c r="AE232" s="42">
        <f>VLOOKUP(D232,[1]apoio_Preços_MGS!$A$6:$AN$238,36,FALSE)</f>
        <v>7.0000000000000007E-2</v>
      </c>
      <c r="AF232" s="40">
        <f>(U232+W232+Z232+AB232+AD232+AA232+VLOOKUP(C232,[1]apoio_Prec_Folha!$A:$S,7,FALSE))*AE232</f>
        <v>304.38692683440513</v>
      </c>
      <c r="AG232" s="40">
        <f t="shared" si="79"/>
        <v>4100.72</v>
      </c>
      <c r="AH232" s="43">
        <f t="shared" si="80"/>
        <v>4620.5200000000004</v>
      </c>
      <c r="AI232" s="43">
        <f t="shared" si="81"/>
        <v>23102.600000000002</v>
      </c>
      <c r="AJ232" s="43">
        <f t="shared" si="82"/>
        <v>1386156.0000000002</v>
      </c>
      <c r="AK232" s="44">
        <f>VLOOKUP(D232,[1]apoio_Preços_MGS!$A$6:$AN$238,39,FALSE)</f>
        <v>200.00000000000003</v>
      </c>
      <c r="AL232" s="44">
        <f>IF(J232="demais municípios",VLOOKUP(D232,[1]apoio_Preços_MGS!$A$6:$AN$238,39,FALSE),0)</f>
        <v>200.00000000000003</v>
      </c>
      <c r="AM232" s="44">
        <v>0</v>
      </c>
      <c r="AN232" s="45">
        <f t="shared" ref="AN232:AN236" si="105">AK232*K232</f>
        <v>1000.0000000000001</v>
      </c>
      <c r="AO232" s="44">
        <f>VLOOKUP(D232,[1]apoio_Preços_MGS!$A$6:$AN$238,40,FALSE)</f>
        <v>552.04</v>
      </c>
      <c r="AP232" s="44">
        <f>IF(J232="demais municípios",VLOOKUP(D232,[1]apoio_Preços_MGS!$A$6:$AN$238,40,FALSE),0)</f>
        <v>552.04</v>
      </c>
      <c r="AQ232" s="44">
        <v>0</v>
      </c>
      <c r="AR232" s="45">
        <f t="shared" ref="AR232:AR236" si="106">AO232*K232</f>
        <v>2760.2</v>
      </c>
      <c r="AS232" s="45">
        <f t="shared" si="91"/>
        <v>3760.2</v>
      </c>
      <c r="AT232" s="45">
        <f t="shared" si="92"/>
        <v>225612</v>
      </c>
      <c r="AU232" s="62"/>
      <c r="AV232" s="46"/>
      <c r="AW232" s="47"/>
      <c r="AX232" s="48"/>
      <c r="AY232" s="49"/>
      <c r="BA232" s="48"/>
    </row>
    <row r="233" spans="1:53" ht="19.5" customHeight="1" x14ac:dyDescent="0.25">
      <c r="A233" s="33" t="str">
        <f t="shared" si="87"/>
        <v>106178440,03</v>
      </c>
      <c r="B233" s="33" t="str">
        <f t="shared" si="88"/>
        <v>1920,03</v>
      </c>
      <c r="C233" s="34" t="str">
        <f>VLOOKUP(D233,[1]apoio_Preços_MGS!$A$6:$B$238,2,FALSE)</f>
        <v>COPEIRO</v>
      </c>
      <c r="D233" s="35">
        <v>192</v>
      </c>
      <c r="E233" s="33" t="str">
        <f>VLOOKUP(D233,[1]apoio_Preços_MGS!$A$6:$F$238,6,FALSE)</f>
        <v>COPEIRO - 12x36 DIURNO - 44H</v>
      </c>
      <c r="F233" s="36">
        <f>IFERROR(VLOOKUP(D233,'[1]apoio_cód catmas'!$B$2:$C$863,2,FALSE),0)</f>
        <v>106178</v>
      </c>
      <c r="G233" s="33" t="str">
        <f>IF(H233="N/A",VLOOKUP(F233&amp;40,'[1]apoio_cód catmas'!$A$1:$G$233,4,FALSE),VLOOKUP(F233&amp;H233,'[1]apoio_cód catmas'!$A$1:$G$233,4,FALSE))</f>
        <v>COPEIRO - 12X36 DIURNO - 44H</v>
      </c>
      <c r="H233" s="36">
        <v>44</v>
      </c>
      <c r="I233" s="37">
        <v>0.03</v>
      </c>
      <c r="J233" s="38" t="s">
        <v>46</v>
      </c>
      <c r="K233" s="39">
        <v>29</v>
      </c>
      <c r="L233" s="39">
        <f t="shared" si="77"/>
        <v>1740</v>
      </c>
      <c r="M233" s="40">
        <f>VLOOKUP(D233,[1]apoio_Preços_MGS!$A$6:$AN$238,18,FALSE)</f>
        <v>1874.4100050803386</v>
      </c>
      <c r="N233" s="40">
        <f>VLOOKUP(D233,[1]apoio_Preços_MGS!$A$6:$AN$238,19,FALSE)</f>
        <v>0</v>
      </c>
      <c r="O233" s="40">
        <f>VLOOKUP(D233,[1]apoio_Preços_MGS!$A$6:$AN$238,20,FALSE)</f>
        <v>0</v>
      </c>
      <c r="P233" s="40">
        <f>VLOOKUP(D233,[1]apoio_Preços_MGS!$A$6:$AN$238,21,FALSE)</f>
        <v>0</v>
      </c>
      <c r="Q233" s="40">
        <f>VLOOKUP(D233,[1]apoio_Preços_MGS!$A$6:$AN$238,22,FALSE)</f>
        <v>0</v>
      </c>
      <c r="R233" s="40">
        <f>VLOOKUP(D233,[1]apoio_Preços_MGS!$A$6:$AN$238,23,FALSE)</f>
        <v>0</v>
      </c>
      <c r="S233" s="40">
        <f>VLOOKUP(D233,[1]apoio_Preços_MGS!$A$6:$AN$238,24,FALSE)</f>
        <v>0</v>
      </c>
      <c r="T233" s="40">
        <f>VLOOKUP(D233,[1]apoio_Preços_MGS!$A$6:$AN$238,25,FALSE)</f>
        <v>2.6033472292782478</v>
      </c>
      <c r="U233" s="40">
        <f t="shared" ref="U233:U304" si="107">SUM(M233:T233)</f>
        <v>1877.0133523096167</v>
      </c>
      <c r="V233" s="41">
        <v>0.81799999999999995</v>
      </c>
      <c r="W233" s="40">
        <f t="shared" ref="W233:W304" si="108">U233*V233</f>
        <v>1535.3969221892664</v>
      </c>
      <c r="X233" s="40">
        <f>VLOOKUP(D233,[1]apoio_Preços_MGS!$A$6:$AN$238,29,FALSE)</f>
        <v>51.978333333333332</v>
      </c>
      <c r="Y233" s="40">
        <f>VLOOKUP(D233,[1]apoio_Preços_MGS!$A$6:$AN$238,30,FALSE)</f>
        <v>30.240899280575537</v>
      </c>
      <c r="Z233" s="40">
        <f t="shared" si="78"/>
        <v>82.219232613908872</v>
      </c>
      <c r="AA233" s="40">
        <f>VLOOKUP(D233,[1]apoio_Preços_MGS!$A$6:$AN$238,32,FALSE)</f>
        <v>3.5988672097542498</v>
      </c>
      <c r="AB233" s="40">
        <f>VLOOKUP(D233,[1]apoio_Preços_MGS!$A$6:$AN$238,33,FALSE)</f>
        <v>154.19605323740996</v>
      </c>
      <c r="AC233" s="41">
        <f>VLOOKUP(D233,[1]apoio_Preços_MGS!$A$6:$AN$238,34,FALSE)</f>
        <v>3.4228710630741767E-2</v>
      </c>
      <c r="AD233" s="40">
        <f>(U233+W233+Z233+AB233+AA233+VLOOKUP(C233,[1]apoio_Prec_Folha!$A:$S,7,FALSE))*AC233</f>
        <v>143.91362279793654</v>
      </c>
      <c r="AE233" s="42">
        <f>VLOOKUP(D233,[1]apoio_Preços_MGS!$A$6:$AN$238,36,FALSE)</f>
        <v>7.0000000000000007E-2</v>
      </c>
      <c r="AF233" s="40">
        <f>(U233+W233+Z233+AB233+AD233+AA233+VLOOKUP(C233,[1]apoio_Prec_Folha!$A:$S,7,FALSE))*AE233</f>
        <v>304.38692683440513</v>
      </c>
      <c r="AG233" s="40">
        <f t="shared" si="79"/>
        <v>4100.72</v>
      </c>
      <c r="AH233" s="43">
        <f t="shared" si="80"/>
        <v>4673.18</v>
      </c>
      <c r="AI233" s="43">
        <f t="shared" si="81"/>
        <v>135522.22</v>
      </c>
      <c r="AJ233" s="43">
        <f t="shared" si="82"/>
        <v>8131333.2000000002</v>
      </c>
      <c r="AK233" s="44">
        <f>VLOOKUP(D233,[1]apoio_Preços_MGS!$A$6:$AN$238,39,FALSE)</f>
        <v>200.00000000000003</v>
      </c>
      <c r="AL233" s="44">
        <f>IF(J233="demais municípios",VLOOKUP(D233,[1]apoio_Preços_MGS!$A$6:$AN$238,39,FALSE),0)</f>
        <v>200.00000000000003</v>
      </c>
      <c r="AM233" s="44">
        <v>0</v>
      </c>
      <c r="AN233" s="45">
        <f t="shared" si="105"/>
        <v>5800.0000000000009</v>
      </c>
      <c r="AO233" s="44">
        <f>VLOOKUP(D233,[1]apoio_Preços_MGS!$A$6:$AN$238,40,FALSE)</f>
        <v>552.04</v>
      </c>
      <c r="AP233" s="44">
        <f>IF(J233="demais municípios",VLOOKUP(D233,[1]apoio_Preços_MGS!$A$6:$AN$238,40,FALSE),0)</f>
        <v>552.04</v>
      </c>
      <c r="AQ233" s="44">
        <v>0</v>
      </c>
      <c r="AR233" s="45">
        <f t="shared" si="106"/>
        <v>16009.16</v>
      </c>
      <c r="AS233" s="45">
        <f t="shared" si="91"/>
        <v>21809.16</v>
      </c>
      <c r="AT233" s="45">
        <f t="shared" si="92"/>
        <v>1308549.6000000001</v>
      </c>
      <c r="AU233" s="62"/>
      <c r="AV233" s="46"/>
      <c r="AW233" s="47"/>
      <c r="AX233" s="48"/>
      <c r="AY233" s="49"/>
      <c r="BA233" s="48"/>
    </row>
    <row r="234" spans="1:53" ht="19.5" customHeight="1" x14ac:dyDescent="0.25">
      <c r="A234" s="33" t="str">
        <f t="shared" si="87"/>
        <v>106178440,035</v>
      </c>
      <c r="B234" s="33" t="str">
        <f t="shared" si="88"/>
        <v>1920,035</v>
      </c>
      <c r="C234" s="34" t="str">
        <f>VLOOKUP(D234,[1]apoio_Preços_MGS!$A$6:$B$238,2,FALSE)</f>
        <v>COPEIRO</v>
      </c>
      <c r="D234" s="35">
        <v>192</v>
      </c>
      <c r="E234" s="33" t="str">
        <f>VLOOKUP(D234,[1]apoio_Preços_MGS!$A$6:$F$238,6,FALSE)</f>
        <v>COPEIRO - 12x36 DIURNO - 44H</v>
      </c>
      <c r="F234" s="36">
        <f>IFERROR(VLOOKUP(D234,'[1]apoio_cód catmas'!$B$2:$C$863,2,FALSE),0)</f>
        <v>106178</v>
      </c>
      <c r="G234" s="33" t="str">
        <f>IF(H234="N/A",VLOOKUP(F234&amp;40,'[1]apoio_cód catmas'!$A$1:$G$233,4,FALSE),VLOOKUP(F234&amp;H234,'[1]apoio_cód catmas'!$A$1:$G$233,4,FALSE))</f>
        <v>COPEIRO - 12X36 DIURNO - 44H</v>
      </c>
      <c r="H234" s="36">
        <v>44</v>
      </c>
      <c r="I234" s="37">
        <v>3.5000000000000003E-2</v>
      </c>
      <c r="J234" s="38" t="s">
        <v>46</v>
      </c>
      <c r="K234" s="39">
        <v>2</v>
      </c>
      <c r="L234" s="39">
        <f t="shared" si="77"/>
        <v>120</v>
      </c>
      <c r="M234" s="40">
        <f>VLOOKUP(D234,[1]apoio_Preços_MGS!$A$6:$AN$238,18,FALSE)</f>
        <v>1874.4100050803386</v>
      </c>
      <c r="N234" s="40">
        <f>VLOOKUP(D234,[1]apoio_Preços_MGS!$A$6:$AN$238,19,FALSE)</f>
        <v>0</v>
      </c>
      <c r="O234" s="40">
        <f>VLOOKUP(D234,[1]apoio_Preços_MGS!$A$6:$AN$238,20,FALSE)</f>
        <v>0</v>
      </c>
      <c r="P234" s="40">
        <f>VLOOKUP(D234,[1]apoio_Preços_MGS!$A$6:$AN$238,21,FALSE)</f>
        <v>0</v>
      </c>
      <c r="Q234" s="40">
        <f>VLOOKUP(D234,[1]apoio_Preços_MGS!$A$6:$AN$238,22,FALSE)</f>
        <v>0</v>
      </c>
      <c r="R234" s="40">
        <f>VLOOKUP(D234,[1]apoio_Preços_MGS!$A$6:$AN$238,23,FALSE)</f>
        <v>0</v>
      </c>
      <c r="S234" s="40">
        <f>VLOOKUP(D234,[1]apoio_Preços_MGS!$A$6:$AN$238,24,FALSE)</f>
        <v>0</v>
      </c>
      <c r="T234" s="40">
        <f>VLOOKUP(D234,[1]apoio_Preços_MGS!$A$6:$AN$238,25,FALSE)</f>
        <v>2.6033472292782478</v>
      </c>
      <c r="U234" s="40">
        <f t="shared" si="107"/>
        <v>1877.0133523096167</v>
      </c>
      <c r="V234" s="41">
        <f>VLOOKUP(D234,[1]apoio_Preços_MGS!$A$6:$AN$238,27,FALSE)</f>
        <v>0.81799999999999995</v>
      </c>
      <c r="W234" s="40">
        <f t="shared" si="108"/>
        <v>1535.3969221892664</v>
      </c>
      <c r="X234" s="40">
        <f>VLOOKUP(D234,[1]apoio_Preços_MGS!$A$6:$AN$238,29,FALSE)</f>
        <v>51.978333333333332</v>
      </c>
      <c r="Y234" s="40">
        <f>VLOOKUP(D234,[1]apoio_Preços_MGS!$A$6:$AN$238,30,FALSE)</f>
        <v>30.240899280575537</v>
      </c>
      <c r="Z234" s="40">
        <f t="shared" si="78"/>
        <v>82.219232613908872</v>
      </c>
      <c r="AA234" s="40">
        <f>VLOOKUP(D234,[1]apoio_Preços_MGS!$A$6:$AN$238,32,FALSE)</f>
        <v>3.5988672097542498</v>
      </c>
      <c r="AB234" s="40">
        <f>VLOOKUP(D234,[1]apoio_Preços_MGS!$A$6:$AN$238,33,FALSE)</f>
        <v>154.19605323740996</v>
      </c>
      <c r="AC234" s="41">
        <f>VLOOKUP(D234,[1]apoio_Preços_MGS!$A$6:$AN$238,34,FALSE)</f>
        <v>3.4228710630741767E-2</v>
      </c>
      <c r="AD234" s="40">
        <f>(U234+W234+Z234+AB234+AA234+VLOOKUP(C234,[1]apoio_Prec_Folha!$A:$S,7,FALSE))*AC234</f>
        <v>143.91362279793654</v>
      </c>
      <c r="AE234" s="42">
        <f>VLOOKUP(D234,[1]apoio_Preços_MGS!$A$6:$AN$238,36,FALSE)</f>
        <v>7.0000000000000007E-2</v>
      </c>
      <c r="AF234" s="40">
        <f>(U234+W234+Z234+AB234+AD234+AA234+VLOOKUP(C234,[1]apoio_Prec_Folha!$A:$S,7,FALSE))*AE234</f>
        <v>304.38692683440513</v>
      </c>
      <c r="AG234" s="40">
        <f t="shared" si="79"/>
        <v>4100.72</v>
      </c>
      <c r="AH234" s="43">
        <f t="shared" si="80"/>
        <v>4699.95</v>
      </c>
      <c r="AI234" s="43">
        <f t="shared" si="81"/>
        <v>9399.9</v>
      </c>
      <c r="AJ234" s="43">
        <f t="shared" si="82"/>
        <v>563994</v>
      </c>
      <c r="AK234" s="44">
        <f>VLOOKUP(D234,[1]apoio_Preços_MGS!$A$6:$AN$238,39,FALSE)</f>
        <v>200.00000000000003</v>
      </c>
      <c r="AL234" s="44">
        <f>IF(J234="demais municípios",VLOOKUP(D234,[1]apoio_Preços_MGS!$A$6:$AN$238,39,FALSE),0)</f>
        <v>200.00000000000003</v>
      </c>
      <c r="AM234" s="44">
        <v>0</v>
      </c>
      <c r="AN234" s="45">
        <f t="shared" si="105"/>
        <v>400.00000000000006</v>
      </c>
      <c r="AO234" s="44">
        <f>VLOOKUP(D234,[1]apoio_Preços_MGS!$A$6:$AN$238,40,FALSE)</f>
        <v>552.04</v>
      </c>
      <c r="AP234" s="44">
        <f>IF(J234="demais municípios",VLOOKUP(D234,[1]apoio_Preços_MGS!$A$6:$AN$238,40,FALSE),0)</f>
        <v>552.04</v>
      </c>
      <c r="AQ234" s="44">
        <v>0</v>
      </c>
      <c r="AR234" s="45">
        <f t="shared" si="106"/>
        <v>1104.08</v>
      </c>
      <c r="AS234" s="45">
        <f t="shared" si="91"/>
        <v>1504.08</v>
      </c>
      <c r="AT234" s="45">
        <f t="shared" si="92"/>
        <v>90244.799999999988</v>
      </c>
      <c r="AU234" s="62"/>
      <c r="AV234" s="46"/>
      <c r="AW234" s="47"/>
      <c r="AX234" s="48"/>
      <c r="AY234" s="49"/>
      <c r="BA234" s="48"/>
    </row>
    <row r="235" spans="1:53" ht="19.5" customHeight="1" x14ac:dyDescent="0.25">
      <c r="A235" s="33" t="str">
        <f t="shared" si="87"/>
        <v>106178440,038</v>
      </c>
      <c r="B235" s="33" t="str">
        <f t="shared" si="88"/>
        <v>1920,038</v>
      </c>
      <c r="C235" s="34" t="str">
        <f>VLOOKUP(D235,[1]apoio_Preços_MGS!$A$6:$B$238,2,FALSE)</f>
        <v>COPEIRO</v>
      </c>
      <c r="D235" s="35">
        <v>192</v>
      </c>
      <c r="E235" s="33" t="str">
        <f>VLOOKUP(D235,[1]apoio_Preços_MGS!$A$6:$F$238,6,FALSE)</f>
        <v>COPEIRO - 12x36 DIURNO - 44H</v>
      </c>
      <c r="F235" s="36">
        <f>IFERROR(VLOOKUP(D235,'[1]apoio_cód catmas'!$B$2:$C$863,2,FALSE),0)</f>
        <v>106178</v>
      </c>
      <c r="G235" s="33" t="str">
        <f>IF(H235="N/A",VLOOKUP(F235&amp;40,'[1]apoio_cód catmas'!$A$1:$G$233,4,FALSE),VLOOKUP(F235&amp;H235,'[1]apoio_cód catmas'!$A$1:$G$233,4,FALSE))</f>
        <v>COPEIRO - 12X36 DIURNO - 44H</v>
      </c>
      <c r="H235" s="36">
        <v>44</v>
      </c>
      <c r="I235" s="37">
        <v>3.7999999999999999E-2</v>
      </c>
      <c r="J235" s="38" t="s">
        <v>46</v>
      </c>
      <c r="K235" s="39">
        <v>4</v>
      </c>
      <c r="L235" s="39">
        <f t="shared" si="77"/>
        <v>240</v>
      </c>
      <c r="M235" s="40">
        <f>VLOOKUP(D235,[1]apoio_Preços_MGS!$A$6:$AN$238,18,FALSE)</f>
        <v>1874.4100050803386</v>
      </c>
      <c r="N235" s="40">
        <f>VLOOKUP(D235,[1]apoio_Preços_MGS!$A$6:$AN$238,19,FALSE)</f>
        <v>0</v>
      </c>
      <c r="O235" s="40">
        <f>VLOOKUP(D235,[1]apoio_Preços_MGS!$A$6:$AN$238,20,FALSE)</f>
        <v>0</v>
      </c>
      <c r="P235" s="40">
        <f>VLOOKUP(D235,[1]apoio_Preços_MGS!$A$6:$AN$238,21,FALSE)</f>
        <v>0</v>
      </c>
      <c r="Q235" s="40">
        <f>VLOOKUP(D235,[1]apoio_Preços_MGS!$A$6:$AN$238,22,FALSE)</f>
        <v>0</v>
      </c>
      <c r="R235" s="40">
        <f>VLOOKUP(D235,[1]apoio_Preços_MGS!$A$6:$AN$238,23,FALSE)</f>
        <v>0</v>
      </c>
      <c r="S235" s="40">
        <f>VLOOKUP(D235,[1]apoio_Preços_MGS!$A$6:$AN$238,24,FALSE)</f>
        <v>0</v>
      </c>
      <c r="T235" s="40">
        <f>VLOOKUP(D235,[1]apoio_Preços_MGS!$A$6:$AN$238,25,FALSE)</f>
        <v>2.6033472292782478</v>
      </c>
      <c r="U235" s="40">
        <f t="shared" si="107"/>
        <v>1877.0133523096167</v>
      </c>
      <c r="V235" s="41">
        <f>VLOOKUP(D235,[1]apoio_Preços_MGS!$A$6:$AN$238,27,FALSE)</f>
        <v>0.81799999999999995</v>
      </c>
      <c r="W235" s="40">
        <f t="shared" si="108"/>
        <v>1535.3969221892664</v>
      </c>
      <c r="X235" s="40">
        <f>VLOOKUP(D235,[1]apoio_Preços_MGS!$A$6:$AN$238,29,FALSE)</f>
        <v>51.978333333333332</v>
      </c>
      <c r="Y235" s="40">
        <f>VLOOKUP(D235,[1]apoio_Preços_MGS!$A$6:$AN$238,30,FALSE)</f>
        <v>30.240899280575537</v>
      </c>
      <c r="Z235" s="40">
        <f t="shared" si="78"/>
        <v>82.219232613908872</v>
      </c>
      <c r="AA235" s="40">
        <f>VLOOKUP(D235,[1]apoio_Preços_MGS!$A$6:$AN$238,32,FALSE)</f>
        <v>3.5988672097542498</v>
      </c>
      <c r="AB235" s="40">
        <f>VLOOKUP(D235,[1]apoio_Preços_MGS!$A$6:$AN$238,33,FALSE)</f>
        <v>154.19605323740996</v>
      </c>
      <c r="AC235" s="41">
        <f>VLOOKUP(D235,[1]apoio_Preços_MGS!$A$6:$AN$238,34,FALSE)</f>
        <v>3.4228710630741767E-2</v>
      </c>
      <c r="AD235" s="40">
        <f>(U235+W235+Z235+AB235+AA235+VLOOKUP(C235,[1]apoio_Prec_Folha!$A:$S,7,FALSE))*AC235</f>
        <v>143.91362279793654</v>
      </c>
      <c r="AE235" s="42">
        <f>VLOOKUP(D235,[1]apoio_Preços_MGS!$A$6:$AN$238,36,FALSE)</f>
        <v>7.0000000000000007E-2</v>
      </c>
      <c r="AF235" s="40">
        <f>(U235+W235+Z235+AB235+AD235+AA235+VLOOKUP(C235,[1]apoio_Prec_Folha!$A:$S,7,FALSE))*AE235</f>
        <v>304.38692683440513</v>
      </c>
      <c r="AG235" s="40">
        <f t="shared" si="79"/>
        <v>4100.72</v>
      </c>
      <c r="AH235" s="43">
        <f t="shared" si="80"/>
        <v>4716.1899999999996</v>
      </c>
      <c r="AI235" s="43">
        <f t="shared" si="81"/>
        <v>18864.759999999998</v>
      </c>
      <c r="AJ235" s="43">
        <f t="shared" si="82"/>
        <v>1131885.5999999999</v>
      </c>
      <c r="AK235" s="44">
        <f>VLOOKUP(D235,[1]apoio_Preços_MGS!$A$6:$AN$238,39,FALSE)</f>
        <v>200.00000000000003</v>
      </c>
      <c r="AL235" s="44">
        <f>IF(J235="demais municípios",VLOOKUP(D235,[1]apoio_Preços_MGS!$A$6:$AN$238,39,FALSE),0)</f>
        <v>200.00000000000003</v>
      </c>
      <c r="AM235" s="44">
        <v>0</v>
      </c>
      <c r="AN235" s="45">
        <f t="shared" si="105"/>
        <v>800.00000000000011</v>
      </c>
      <c r="AO235" s="44">
        <f>VLOOKUP(D235,[1]apoio_Preços_MGS!$A$6:$AN$238,40,FALSE)</f>
        <v>552.04</v>
      </c>
      <c r="AP235" s="44">
        <f>IF(J235="demais municípios",VLOOKUP(D235,[1]apoio_Preços_MGS!$A$6:$AN$238,40,FALSE),0)</f>
        <v>552.04</v>
      </c>
      <c r="AQ235" s="44">
        <v>0</v>
      </c>
      <c r="AR235" s="45">
        <f t="shared" si="106"/>
        <v>2208.16</v>
      </c>
      <c r="AS235" s="45">
        <f t="shared" si="91"/>
        <v>3008.16</v>
      </c>
      <c r="AT235" s="45">
        <f t="shared" si="92"/>
        <v>180489.59999999998</v>
      </c>
      <c r="AU235" s="62"/>
      <c r="AV235" s="46"/>
      <c r="AW235" s="47"/>
      <c r="AX235" s="48"/>
      <c r="AY235" s="49"/>
      <c r="BA235" s="48"/>
    </row>
    <row r="236" spans="1:53" ht="19.5" customHeight="1" x14ac:dyDescent="0.25">
      <c r="A236" s="33" t="str">
        <f t="shared" si="87"/>
        <v>106178440,05</v>
      </c>
      <c r="B236" s="33" t="str">
        <f t="shared" si="88"/>
        <v>1920,05</v>
      </c>
      <c r="C236" s="34" t="str">
        <f>VLOOKUP(D236,[1]apoio_Preços_MGS!$A$6:$B$238,2,FALSE)</f>
        <v>COPEIRO</v>
      </c>
      <c r="D236" s="35">
        <v>192</v>
      </c>
      <c r="E236" s="33" t="str">
        <f>VLOOKUP(D236,[1]apoio_Preços_MGS!$A$6:$F$238,6,FALSE)</f>
        <v>COPEIRO - 12x36 DIURNO - 44H</v>
      </c>
      <c r="F236" s="36">
        <f>IFERROR(VLOOKUP(D236,'[1]apoio_cód catmas'!$B$2:$C$863,2,FALSE),0)</f>
        <v>106178</v>
      </c>
      <c r="G236" s="33" t="str">
        <f>IF(H236="N/A",VLOOKUP(F236&amp;40,'[1]apoio_cód catmas'!$A$1:$G$233,4,FALSE),VLOOKUP(F236&amp;H236,'[1]apoio_cód catmas'!$A$1:$G$233,4,FALSE))</f>
        <v>COPEIRO - 12X36 DIURNO - 44H</v>
      </c>
      <c r="H236" s="36">
        <v>44</v>
      </c>
      <c r="I236" s="37">
        <v>0.05</v>
      </c>
      <c r="J236" s="38" t="s">
        <v>46</v>
      </c>
      <c r="K236" s="39">
        <f>61-K237</f>
        <v>4</v>
      </c>
      <c r="L236" s="39">
        <f t="shared" si="77"/>
        <v>240</v>
      </c>
      <c r="M236" s="40">
        <f>VLOOKUP(D236,[1]apoio_Preços_MGS!$A$6:$AN$238,18,FALSE)</f>
        <v>1874.4100050803386</v>
      </c>
      <c r="N236" s="40">
        <f>VLOOKUP(D236,[1]apoio_Preços_MGS!$A$6:$AN$238,19,FALSE)</f>
        <v>0</v>
      </c>
      <c r="O236" s="40">
        <f>VLOOKUP(D236,[1]apoio_Preços_MGS!$A$6:$AN$238,20,FALSE)</f>
        <v>0</v>
      </c>
      <c r="P236" s="40">
        <f>VLOOKUP(D236,[1]apoio_Preços_MGS!$A$6:$AN$238,21,FALSE)</f>
        <v>0</v>
      </c>
      <c r="Q236" s="40">
        <f>VLOOKUP(D236,[1]apoio_Preços_MGS!$A$6:$AN$238,22,FALSE)</f>
        <v>0</v>
      </c>
      <c r="R236" s="40">
        <f>VLOOKUP(D236,[1]apoio_Preços_MGS!$A$6:$AN$238,23,FALSE)</f>
        <v>0</v>
      </c>
      <c r="S236" s="40">
        <f>VLOOKUP(D236,[1]apoio_Preços_MGS!$A$6:$AN$238,24,FALSE)</f>
        <v>0</v>
      </c>
      <c r="T236" s="40">
        <f>VLOOKUP(D236,[1]apoio_Preços_MGS!$A$6:$AN$238,25,FALSE)</f>
        <v>2.6033472292782478</v>
      </c>
      <c r="U236" s="40">
        <f t="shared" si="107"/>
        <v>1877.0133523096167</v>
      </c>
      <c r="V236" s="41">
        <f>VLOOKUP(D236,[1]apoio_Preços_MGS!$A$6:$AN$238,27,FALSE)</f>
        <v>0.81799999999999995</v>
      </c>
      <c r="W236" s="40">
        <f t="shared" si="108"/>
        <v>1535.3969221892664</v>
      </c>
      <c r="X236" s="40">
        <f>VLOOKUP(D236,[1]apoio_Preços_MGS!$A$6:$AN$238,29,FALSE)</f>
        <v>51.978333333333332</v>
      </c>
      <c r="Y236" s="40">
        <f>VLOOKUP(D236,[1]apoio_Preços_MGS!$A$6:$AN$238,30,FALSE)</f>
        <v>30.240899280575537</v>
      </c>
      <c r="Z236" s="40">
        <f t="shared" si="78"/>
        <v>82.219232613908872</v>
      </c>
      <c r="AA236" s="40">
        <f>VLOOKUP(D236,[1]apoio_Preços_MGS!$A$6:$AN$238,32,FALSE)</f>
        <v>3.5988672097542498</v>
      </c>
      <c r="AB236" s="40">
        <f>VLOOKUP(D236,[1]apoio_Preços_MGS!$A$6:$AN$238,33,FALSE)</f>
        <v>154.19605323740996</v>
      </c>
      <c r="AC236" s="41">
        <f>VLOOKUP(D236,[1]apoio_Preços_MGS!$A$6:$AN$238,34,FALSE)</f>
        <v>3.4228710630741767E-2</v>
      </c>
      <c r="AD236" s="40">
        <f>(U236+W236+Z236+AB236+AA236+VLOOKUP(C236,[1]apoio_Prec_Folha!$A:$S,7,FALSE))*AC236</f>
        <v>143.91362279793654</v>
      </c>
      <c r="AE236" s="42">
        <f>VLOOKUP(D236,[1]apoio_Preços_MGS!$A$6:$AN$238,36,FALSE)</f>
        <v>7.0000000000000007E-2</v>
      </c>
      <c r="AF236" s="40">
        <f>(U236+W236+Z236+AB236+AD236+AA236+VLOOKUP(C236,[1]apoio_Prec_Folha!$A:$S,7,FALSE))*AE236</f>
        <v>304.38692683440513</v>
      </c>
      <c r="AG236" s="40">
        <f t="shared" si="79"/>
        <v>4100.72</v>
      </c>
      <c r="AH236" s="43">
        <f t="shared" si="80"/>
        <v>4782.17</v>
      </c>
      <c r="AI236" s="43">
        <f t="shared" si="81"/>
        <v>19128.68</v>
      </c>
      <c r="AJ236" s="43">
        <f t="shared" si="82"/>
        <v>1147720.8</v>
      </c>
      <c r="AK236" s="44">
        <f>VLOOKUP(D236,[1]apoio_Preços_MGS!$A$6:$AN$238,39,FALSE)</f>
        <v>200.00000000000003</v>
      </c>
      <c r="AL236" s="44">
        <f>IF(J236="demais municípios",VLOOKUP(D236,[1]apoio_Preços_MGS!$A$6:$AN$238,39,FALSE),0)</f>
        <v>200.00000000000003</v>
      </c>
      <c r="AM236" s="44">
        <v>0</v>
      </c>
      <c r="AN236" s="45">
        <f t="shared" si="105"/>
        <v>800.00000000000011</v>
      </c>
      <c r="AO236" s="44">
        <f>VLOOKUP(D236,[1]apoio_Preços_MGS!$A$6:$AN$238,40,FALSE)</f>
        <v>552.04</v>
      </c>
      <c r="AP236" s="44">
        <f>IF(J236="demais municípios",VLOOKUP(D236,[1]apoio_Preços_MGS!$A$6:$AN$238,40,FALSE),0)</f>
        <v>552.04</v>
      </c>
      <c r="AQ236" s="44">
        <v>0</v>
      </c>
      <c r="AR236" s="45">
        <f t="shared" si="106"/>
        <v>2208.16</v>
      </c>
      <c r="AS236" s="45">
        <f t="shared" si="91"/>
        <v>3008.16</v>
      </c>
      <c r="AT236" s="45">
        <f t="shared" si="92"/>
        <v>180489.59999999998</v>
      </c>
      <c r="AU236" s="62"/>
      <c r="AV236" s="46"/>
      <c r="AW236" s="47"/>
      <c r="AX236" s="48"/>
      <c r="AY236" s="49"/>
      <c r="BA236" s="48"/>
    </row>
    <row r="237" spans="1:53" ht="19.5" customHeight="1" x14ac:dyDescent="0.25">
      <c r="A237" s="33" t="str">
        <f t="shared" si="87"/>
        <v>106178440,05</v>
      </c>
      <c r="B237" s="33" t="str">
        <f t="shared" si="88"/>
        <v>1920,05</v>
      </c>
      <c r="C237" s="34" t="str">
        <f>VLOOKUP(D237,[1]apoio_Preços_MGS!$A$6:$B$238,2,FALSE)</f>
        <v>COPEIRO</v>
      </c>
      <c r="D237" s="35">
        <v>192</v>
      </c>
      <c r="E237" s="33" t="str">
        <f>VLOOKUP(D237,[1]apoio_Preços_MGS!$A$6:$F$238,6,FALSE)</f>
        <v>COPEIRO - 12x36 DIURNO - 44H</v>
      </c>
      <c r="F237" s="36">
        <f>IFERROR(VLOOKUP(D237,'[1]apoio_cód catmas'!$B$2:$C$863,2,FALSE),0)</f>
        <v>106178</v>
      </c>
      <c r="G237" s="33" t="str">
        <f>IF(H237="N/A",VLOOKUP(F237&amp;40,'[1]apoio_cód catmas'!$A$1:$G$233,4,FALSE),VLOOKUP(F237&amp;H237,'[1]apoio_cód catmas'!$A$1:$G$233,4,FALSE))</f>
        <v>COPEIRO - 12X36 DIURNO - 44H</v>
      </c>
      <c r="H237" s="36">
        <v>44</v>
      </c>
      <c r="I237" s="37">
        <v>0.05</v>
      </c>
      <c r="J237" s="38" t="s">
        <v>47</v>
      </c>
      <c r="K237" s="39">
        <v>57</v>
      </c>
      <c r="L237" s="39">
        <f t="shared" si="77"/>
        <v>3420</v>
      </c>
      <c r="M237" s="40">
        <f>VLOOKUP(D237,[1]apoio_Preços_MGS!$A$6:$AN$238,18,FALSE)</f>
        <v>1874.4100050803386</v>
      </c>
      <c r="N237" s="40">
        <f>VLOOKUP(D237,[1]apoio_Preços_MGS!$A$6:$AN$238,19,FALSE)</f>
        <v>0</v>
      </c>
      <c r="O237" s="40">
        <f>VLOOKUP(D237,[1]apoio_Preços_MGS!$A$6:$AN$238,20,FALSE)</f>
        <v>0</v>
      </c>
      <c r="P237" s="40">
        <f>VLOOKUP(D237,[1]apoio_Preços_MGS!$A$6:$AN$238,21,FALSE)</f>
        <v>0</v>
      </c>
      <c r="Q237" s="40">
        <f>VLOOKUP(D237,[1]apoio_Preços_MGS!$A$6:$AN$238,22,FALSE)</f>
        <v>0</v>
      </c>
      <c r="R237" s="40">
        <f>VLOOKUP(D237,[1]apoio_Preços_MGS!$A$6:$AN$238,23,FALSE)</f>
        <v>0</v>
      </c>
      <c r="S237" s="40">
        <f>VLOOKUP(D237,[1]apoio_Preços_MGS!$A$6:$AN$238,24,FALSE)</f>
        <v>0</v>
      </c>
      <c r="T237" s="40">
        <f>VLOOKUP(D237,[1]apoio_Preços_MGS!$A$6:$AN$238,25,FALSE)</f>
        <v>2.6033472292782478</v>
      </c>
      <c r="U237" s="40">
        <f t="shared" si="107"/>
        <v>1877.0133523096167</v>
      </c>
      <c r="V237" s="41">
        <f>VLOOKUP(D237,[1]apoio_Preços_MGS!$A$6:$AN$238,27,FALSE)</f>
        <v>0.81799999999999995</v>
      </c>
      <c r="W237" s="40">
        <f t="shared" si="108"/>
        <v>1535.3969221892664</v>
      </c>
      <c r="X237" s="40">
        <f>VLOOKUP(D237,[1]apoio_Preços_MGS!$A$6:$AN$238,29,FALSE)</f>
        <v>51.978333333333332</v>
      </c>
      <c r="Y237" s="40">
        <f>VLOOKUP(D237,[1]apoio_Preços_MGS!$A$6:$AN$238,30,FALSE)</f>
        <v>30.240899280575537</v>
      </c>
      <c r="Z237" s="40">
        <f t="shared" si="78"/>
        <v>82.219232613908872</v>
      </c>
      <c r="AA237" s="40">
        <f>VLOOKUP(D237,[1]apoio_Preços_MGS!$A$6:$AN$238,32,FALSE)</f>
        <v>3.5988672097542498</v>
      </c>
      <c r="AB237" s="40">
        <f>VLOOKUP(D237,[1]apoio_Preços_MGS!$A$6:$AN$238,33,FALSE)</f>
        <v>154.19605323740996</v>
      </c>
      <c r="AC237" s="41">
        <f>VLOOKUP(D237,[1]apoio_Preços_MGS!$A$6:$AN$238,34,FALSE)</f>
        <v>3.4228710630741767E-2</v>
      </c>
      <c r="AD237" s="40">
        <f>(U237+W237+Z237+AB237+AA237+VLOOKUP(C237,[1]apoio_Prec_Folha!$A:$S,7,FALSE))*AC237</f>
        <v>143.91362279793654</v>
      </c>
      <c r="AE237" s="42">
        <f>VLOOKUP(D237,[1]apoio_Preços_MGS!$A$6:$AN$238,36,FALSE)</f>
        <v>7.0000000000000007E-2</v>
      </c>
      <c r="AF237" s="40">
        <f>(U237+W237+Z237+AB237+AD237+AA237+VLOOKUP(C237,[1]apoio_Prec_Folha!$A:$S,7,FALSE))*AE237</f>
        <v>304.38692683440513</v>
      </c>
      <c r="AG237" s="40">
        <f t="shared" si="79"/>
        <v>4100.72</v>
      </c>
      <c r="AH237" s="43">
        <f t="shared" si="80"/>
        <v>4782.17</v>
      </c>
      <c r="AI237" s="43">
        <f t="shared" si="81"/>
        <v>272583.69</v>
      </c>
      <c r="AJ237" s="43">
        <f t="shared" si="82"/>
        <v>16355021.4</v>
      </c>
      <c r="AK237" s="44">
        <f>VLOOKUP(D237,[1]apoio_Preços_MGS!$A$6:$AN$238,39,FALSE)</f>
        <v>200.00000000000003</v>
      </c>
      <c r="AL237" s="44">
        <f>IF(J237="demais municípios",VLOOKUP(D237,[1]apoio_Preços_MGS!$A$6:$AN$238,39,FALSE),0)</f>
        <v>0</v>
      </c>
      <c r="AM237" s="44">
        <f>TRUNC(ROUND(($I237)/(1-($I237)),5)*VLOOKUP(D237,[1]apoio_Preços_MGS!$A$6:$AN$238,39,FALSE)+VLOOKUP(D237,[1]apoio_Preços_MGS!$A$6:$AN$238,39,FALSE),2)</f>
        <v>210.52</v>
      </c>
      <c r="AN237" s="45">
        <f t="shared" si="93"/>
        <v>11999.640000000001</v>
      </c>
      <c r="AO237" s="44">
        <f>VLOOKUP(D237,[1]apoio_Preços_MGS!$A$6:$AN$238,40,FALSE)</f>
        <v>552.04</v>
      </c>
      <c r="AP237" s="44">
        <f>IF(J237="demais municípios",VLOOKUP(D237,[1]apoio_Preços_MGS!$A$6:$AN$238,40,FALSE),0)</f>
        <v>0</v>
      </c>
      <c r="AQ237" s="44">
        <f>TRUNC(ROUND(($I237)/(1-($I237)),5)*VLOOKUP(D237,[1]apoio_Preços_MGS!$A$6:$AN$238,40,FALSE)+VLOOKUP(D237,[1]apoio_Preços_MGS!$A$6:$AN$238,40,FALSE),2)</f>
        <v>581.09</v>
      </c>
      <c r="AR237" s="45">
        <f t="shared" si="94"/>
        <v>33122.130000000005</v>
      </c>
      <c r="AS237" s="45">
        <f t="shared" si="91"/>
        <v>45121.770000000004</v>
      </c>
      <c r="AT237" s="45">
        <f t="shared" si="92"/>
        <v>2707306.2</v>
      </c>
      <c r="AU237" s="62"/>
      <c r="AV237" s="46"/>
      <c r="AW237" s="47"/>
      <c r="AX237" s="48"/>
      <c r="AY237" s="49"/>
      <c r="BA237" s="48"/>
    </row>
    <row r="238" spans="1:53" ht="19.5" customHeight="1" x14ac:dyDescent="0.25">
      <c r="A238" s="33" t="str">
        <f t="shared" si="87"/>
        <v>106186440,02</v>
      </c>
      <c r="B238" s="33" t="str">
        <f t="shared" si="88"/>
        <v>1930,02</v>
      </c>
      <c r="C238" s="34" t="str">
        <f>VLOOKUP(D238,[1]apoio_Preços_MGS!$A$6:$B$238,2,FALSE)</f>
        <v>COPEIRO</v>
      </c>
      <c r="D238" s="35">
        <v>193</v>
      </c>
      <c r="E238" s="33" t="str">
        <f>VLOOKUP(D238,[1]apoio_Preços_MGS!$A$6:$F$238,6,FALSE)</f>
        <v>COPEIRO - 12x36 NOTURNO - 44H</v>
      </c>
      <c r="F238" s="36">
        <f>IFERROR(VLOOKUP(D238,'[1]apoio_cód catmas'!$B$2:$C$863,2,FALSE),0)</f>
        <v>106186</v>
      </c>
      <c r="G238" s="33" t="str">
        <f>IF(H238="N/A",VLOOKUP(F238&amp;40,'[1]apoio_cód catmas'!$A$1:$G$233,4,FALSE),VLOOKUP(F238&amp;H238,'[1]apoio_cód catmas'!$A$1:$G$233,4,FALSE))</f>
        <v>COPEIRO - 12X36 NOTURNO - 44H</v>
      </c>
      <c r="H238" s="36">
        <v>44</v>
      </c>
      <c r="I238" s="37">
        <v>0.02</v>
      </c>
      <c r="J238" s="38" t="s">
        <v>46</v>
      </c>
      <c r="K238" s="39">
        <v>4</v>
      </c>
      <c r="L238" s="39">
        <f t="shared" si="77"/>
        <v>240</v>
      </c>
      <c r="M238" s="40">
        <f>VLOOKUP(D238,[1]apoio_Preços_MGS!$A$6:$AN$238,18,FALSE)</f>
        <v>1874.4100050803386</v>
      </c>
      <c r="N238" s="40">
        <f>VLOOKUP(D238,[1]apoio_Preços_MGS!$A$6:$AN$238,19,FALSE)</f>
        <v>0</v>
      </c>
      <c r="O238" s="40">
        <f>VLOOKUP(D238,[1]apoio_Preços_MGS!$A$6:$AN$238,20,FALSE)</f>
        <v>436.66153900513211</v>
      </c>
      <c r="P238" s="40">
        <f>VLOOKUP(D238,[1]apoio_Preços_MGS!$A$6:$AN$238,21,FALSE)</f>
        <v>9.5316509988017657</v>
      </c>
      <c r="Q238" s="40">
        <f>VLOOKUP(D238,[1]apoio_Preços_MGS!$A$6:$AN$238,22,FALSE)</f>
        <v>35.743680522399245</v>
      </c>
      <c r="R238" s="40">
        <f>VLOOKUP(D238,[1]apoio_Preços_MGS!$A$6:$AN$238,23,FALSE)</f>
        <v>0</v>
      </c>
      <c r="S238" s="40">
        <f>VLOOKUP(D238,[1]apoio_Preços_MGS!$A$6:$AN$238,24,FALSE)</f>
        <v>0</v>
      </c>
      <c r="T238" s="40">
        <f>VLOOKUP(D238,[1]apoio_Preços_MGS!$A$6:$AN$238,25,FALSE)</f>
        <v>2.6033472292782478</v>
      </c>
      <c r="U238" s="40">
        <f t="shared" si="107"/>
        <v>2358.9502228359502</v>
      </c>
      <c r="V238" s="41">
        <f>VLOOKUP(D238,[1]apoio_Preços_MGS!$A$6:$AN$238,27,FALSE)</f>
        <v>0.81799999999999995</v>
      </c>
      <c r="W238" s="40">
        <f t="shared" si="108"/>
        <v>1929.621282279807</v>
      </c>
      <c r="X238" s="40">
        <f>VLOOKUP(D238,[1]apoio_Preços_MGS!$A$6:$AN$238,29,FALSE)</f>
        <v>51.978333333333332</v>
      </c>
      <c r="Y238" s="40">
        <f>VLOOKUP(D238,[1]apoio_Preços_MGS!$A$6:$AN$238,30,FALSE)</f>
        <v>30.240899280575537</v>
      </c>
      <c r="Z238" s="40">
        <f t="shared" si="78"/>
        <v>82.219232613908872</v>
      </c>
      <c r="AA238" s="40">
        <f>VLOOKUP(D238,[1]apoio_Preços_MGS!$A$6:$AN$238,32,FALSE)</f>
        <v>3.5988672097542498</v>
      </c>
      <c r="AB238" s="40">
        <f>VLOOKUP(D238,[1]apoio_Preços_MGS!$A$6:$AN$238,33,FALSE)</f>
        <v>154.19605323740996</v>
      </c>
      <c r="AC238" s="41">
        <f>VLOOKUP(D238,[1]apoio_Preços_MGS!$A$6:$AN$238,34,FALSE)</f>
        <v>3.4228710630741767E-2</v>
      </c>
      <c r="AD238" s="40">
        <f>(U238+W238+Z238+AB238+AA238+VLOOKUP(C238,[1]apoio_Prec_Folha!$A:$S,7,FALSE))*AC238</f>
        <v>173.90349202659613</v>
      </c>
      <c r="AE238" s="42">
        <f>VLOOKUP(D238,[1]apoio_Preços_MGS!$A$6:$AN$238,36,FALSE)</f>
        <v>7.0000000000000007E-2</v>
      </c>
      <c r="AF238" s="40">
        <f>(U238+W238+Z238+AB238+AD238+AA238+VLOOKUP(C238,[1]apoio_Prec_Folha!$A:$S,7,FALSE))*AE238</f>
        <v>367.81750382359246</v>
      </c>
      <c r="AG238" s="40">
        <f t="shared" si="79"/>
        <v>5070.3</v>
      </c>
      <c r="AH238" s="43">
        <f t="shared" si="80"/>
        <v>5713.01</v>
      </c>
      <c r="AI238" s="43">
        <f t="shared" si="81"/>
        <v>22852.04</v>
      </c>
      <c r="AJ238" s="43">
        <f t="shared" si="82"/>
        <v>1371122.4000000001</v>
      </c>
      <c r="AK238" s="44">
        <f>VLOOKUP(D238,[1]apoio_Preços_MGS!$A$6:$AN$238,39,FALSE)</f>
        <v>200.00000000000003</v>
      </c>
      <c r="AL238" s="44">
        <f>IF(J238="demais municípios",VLOOKUP(D238,[1]apoio_Preços_MGS!$A$6:$AN$238,39,FALSE),0)</f>
        <v>200.00000000000003</v>
      </c>
      <c r="AM238" s="44">
        <v>0</v>
      </c>
      <c r="AN238" s="45">
        <f t="shared" ref="AN238:AN240" si="109">AK238*K238</f>
        <v>800.00000000000011</v>
      </c>
      <c r="AO238" s="44">
        <f>VLOOKUP(D238,[1]apoio_Preços_MGS!$A$6:$AN$238,40,FALSE)</f>
        <v>552.04</v>
      </c>
      <c r="AP238" s="44">
        <f>IF(J238="demais municípios",VLOOKUP(D238,[1]apoio_Preços_MGS!$A$6:$AN$238,40,FALSE),0)</f>
        <v>552.04</v>
      </c>
      <c r="AQ238" s="44">
        <v>0</v>
      </c>
      <c r="AR238" s="45">
        <f t="shared" ref="AR238:AR240" si="110">AO238*K238</f>
        <v>2208.16</v>
      </c>
      <c r="AS238" s="45">
        <f t="shared" si="91"/>
        <v>3008.16</v>
      </c>
      <c r="AT238" s="45">
        <f t="shared" si="92"/>
        <v>180489.59999999998</v>
      </c>
      <c r="AU238" s="62"/>
      <c r="AV238" s="46"/>
      <c r="AW238" s="47"/>
      <c r="AX238" s="48"/>
      <c r="AY238" s="49"/>
      <c r="BA238" s="48"/>
    </row>
    <row r="239" spans="1:53" ht="19.5" customHeight="1" x14ac:dyDescent="0.25">
      <c r="A239" s="33" t="str">
        <f t="shared" si="87"/>
        <v>106186440,03</v>
      </c>
      <c r="B239" s="33" t="str">
        <f t="shared" si="88"/>
        <v>1930,03</v>
      </c>
      <c r="C239" s="34" t="str">
        <f>VLOOKUP(D239,[1]apoio_Preços_MGS!$A$6:$B$238,2,FALSE)</f>
        <v>COPEIRO</v>
      </c>
      <c r="D239" s="35">
        <v>193</v>
      </c>
      <c r="E239" s="33" t="str">
        <f>VLOOKUP(D239,[1]apoio_Preços_MGS!$A$6:$F$238,6,FALSE)</f>
        <v>COPEIRO - 12x36 NOTURNO - 44H</v>
      </c>
      <c r="F239" s="36">
        <f>IFERROR(VLOOKUP(D239,'[1]apoio_cód catmas'!$B$2:$C$863,2,FALSE),0)</f>
        <v>106186</v>
      </c>
      <c r="G239" s="33" t="str">
        <f>IF(H239="N/A",VLOOKUP(F239&amp;40,'[1]apoio_cód catmas'!$A$1:$G$233,4,FALSE),VLOOKUP(F239&amp;H239,'[1]apoio_cód catmas'!$A$1:$G$233,4,FALSE))</f>
        <v>COPEIRO - 12X36 NOTURNO - 44H</v>
      </c>
      <c r="H239" s="36">
        <v>44</v>
      </c>
      <c r="I239" s="37">
        <v>0.03</v>
      </c>
      <c r="J239" s="38" t="s">
        <v>46</v>
      </c>
      <c r="K239" s="39">
        <v>10</v>
      </c>
      <c r="L239" s="39">
        <f t="shared" si="77"/>
        <v>600</v>
      </c>
      <c r="M239" s="40">
        <f>VLOOKUP(D239,[1]apoio_Preços_MGS!$A$6:$AN$238,18,FALSE)</f>
        <v>1874.4100050803386</v>
      </c>
      <c r="N239" s="40">
        <f>VLOOKUP(D239,[1]apoio_Preços_MGS!$A$6:$AN$238,19,FALSE)</f>
        <v>0</v>
      </c>
      <c r="O239" s="40">
        <f>VLOOKUP(D239,[1]apoio_Preços_MGS!$A$6:$AN$238,20,FALSE)</f>
        <v>436.66153900513211</v>
      </c>
      <c r="P239" s="40">
        <f>VLOOKUP(D239,[1]apoio_Preços_MGS!$A$6:$AN$238,21,FALSE)</f>
        <v>9.5316509988017657</v>
      </c>
      <c r="Q239" s="40">
        <f>VLOOKUP(D239,[1]apoio_Preços_MGS!$A$6:$AN$238,22,FALSE)</f>
        <v>35.743680522399245</v>
      </c>
      <c r="R239" s="40">
        <f>VLOOKUP(D239,[1]apoio_Preços_MGS!$A$6:$AN$238,23,FALSE)</f>
        <v>0</v>
      </c>
      <c r="S239" s="40">
        <f>VLOOKUP(D239,[1]apoio_Preços_MGS!$A$6:$AN$238,24,FALSE)</f>
        <v>0</v>
      </c>
      <c r="T239" s="40">
        <f>VLOOKUP(D239,[1]apoio_Preços_MGS!$A$6:$AN$238,25,FALSE)</f>
        <v>2.6033472292782478</v>
      </c>
      <c r="U239" s="40">
        <f t="shared" si="107"/>
        <v>2358.9502228359502</v>
      </c>
      <c r="V239" s="41">
        <f>VLOOKUP(D239,[1]apoio_Preços_MGS!$A$6:$AN$238,27,FALSE)</f>
        <v>0.81799999999999995</v>
      </c>
      <c r="W239" s="40">
        <f t="shared" si="108"/>
        <v>1929.621282279807</v>
      </c>
      <c r="X239" s="40">
        <f>VLOOKUP(D239,[1]apoio_Preços_MGS!$A$6:$AN$238,29,FALSE)</f>
        <v>51.978333333333332</v>
      </c>
      <c r="Y239" s="40">
        <f>VLOOKUP(D239,[1]apoio_Preços_MGS!$A$6:$AN$238,30,FALSE)</f>
        <v>30.240899280575537</v>
      </c>
      <c r="Z239" s="40">
        <f t="shared" si="78"/>
        <v>82.219232613908872</v>
      </c>
      <c r="AA239" s="40">
        <f>VLOOKUP(D239,[1]apoio_Preços_MGS!$A$6:$AN$238,32,FALSE)</f>
        <v>3.5988672097542498</v>
      </c>
      <c r="AB239" s="40">
        <f>VLOOKUP(D239,[1]apoio_Preços_MGS!$A$6:$AN$238,33,FALSE)</f>
        <v>154.19605323740996</v>
      </c>
      <c r="AC239" s="41">
        <f>VLOOKUP(D239,[1]apoio_Preços_MGS!$A$6:$AN$238,34,FALSE)</f>
        <v>3.4228710630741767E-2</v>
      </c>
      <c r="AD239" s="40">
        <f>(U239+W239+Z239+AB239+AA239+VLOOKUP(C239,[1]apoio_Prec_Folha!$A:$S,7,FALSE))*AC239</f>
        <v>173.90349202659613</v>
      </c>
      <c r="AE239" s="42">
        <f>VLOOKUP(D239,[1]apoio_Preços_MGS!$A$6:$AN$238,36,FALSE)</f>
        <v>7.0000000000000007E-2</v>
      </c>
      <c r="AF239" s="40">
        <f>(U239+W239+Z239+AB239+AD239+AA239+VLOOKUP(C239,[1]apoio_Prec_Folha!$A:$S,7,FALSE))*AE239</f>
        <v>367.81750382359246</v>
      </c>
      <c r="AG239" s="40">
        <f t="shared" si="79"/>
        <v>5070.3</v>
      </c>
      <c r="AH239" s="43">
        <f t="shared" si="80"/>
        <v>5778.11</v>
      </c>
      <c r="AI239" s="43">
        <f t="shared" si="81"/>
        <v>57781.1</v>
      </c>
      <c r="AJ239" s="43">
        <f t="shared" si="82"/>
        <v>3466866</v>
      </c>
      <c r="AK239" s="44">
        <f>VLOOKUP(D239,[1]apoio_Preços_MGS!$A$6:$AN$238,39,FALSE)</f>
        <v>200.00000000000003</v>
      </c>
      <c r="AL239" s="44">
        <f>IF(J239="demais municípios",VLOOKUP(D239,[1]apoio_Preços_MGS!$A$6:$AN$238,39,FALSE),0)</f>
        <v>200.00000000000003</v>
      </c>
      <c r="AM239" s="44">
        <v>0</v>
      </c>
      <c r="AN239" s="45">
        <f t="shared" si="109"/>
        <v>2000.0000000000002</v>
      </c>
      <c r="AO239" s="44">
        <f>VLOOKUP(D239,[1]apoio_Preços_MGS!$A$6:$AN$238,40,FALSE)</f>
        <v>552.04</v>
      </c>
      <c r="AP239" s="44">
        <f>IF(J239="demais municípios",VLOOKUP(D239,[1]apoio_Preços_MGS!$A$6:$AN$238,40,FALSE),0)</f>
        <v>552.04</v>
      </c>
      <c r="AQ239" s="44">
        <v>0</v>
      </c>
      <c r="AR239" s="45">
        <f t="shared" si="110"/>
        <v>5520.4</v>
      </c>
      <c r="AS239" s="45">
        <f t="shared" si="91"/>
        <v>7520.4</v>
      </c>
      <c r="AT239" s="45">
        <f t="shared" si="92"/>
        <v>451224</v>
      </c>
      <c r="AU239" s="62"/>
      <c r="AV239" s="46"/>
      <c r="AW239" s="47"/>
      <c r="AX239" s="48"/>
      <c r="AY239" s="49"/>
      <c r="BA239" s="48"/>
    </row>
    <row r="240" spans="1:53" ht="19.5" customHeight="1" x14ac:dyDescent="0.25">
      <c r="A240" s="33" t="str">
        <f t="shared" si="87"/>
        <v>106186440,05</v>
      </c>
      <c r="B240" s="33" t="str">
        <f t="shared" si="88"/>
        <v>1930,05</v>
      </c>
      <c r="C240" s="34" t="str">
        <f>VLOOKUP(D240,[1]apoio_Preços_MGS!$A$6:$B$238,2,FALSE)</f>
        <v>COPEIRO</v>
      </c>
      <c r="D240" s="35">
        <v>193</v>
      </c>
      <c r="E240" s="33" t="str">
        <f>VLOOKUP(D240,[1]apoio_Preços_MGS!$A$6:$F$238,6,FALSE)</f>
        <v>COPEIRO - 12x36 NOTURNO - 44H</v>
      </c>
      <c r="F240" s="36">
        <f>IFERROR(VLOOKUP(D240,'[1]apoio_cód catmas'!$B$2:$C$863,2,FALSE),0)</f>
        <v>106186</v>
      </c>
      <c r="G240" s="33" t="str">
        <f>IF(H240="N/A",VLOOKUP(F240&amp;40,'[1]apoio_cód catmas'!$A$1:$G$233,4,FALSE),VLOOKUP(F240&amp;H240,'[1]apoio_cód catmas'!$A$1:$G$233,4,FALSE))</f>
        <v>COPEIRO - 12X36 NOTURNO - 44H</v>
      </c>
      <c r="H240" s="36">
        <v>44</v>
      </c>
      <c r="I240" s="37">
        <v>0.05</v>
      </c>
      <c r="J240" s="38" t="s">
        <v>46</v>
      </c>
      <c r="K240" s="39">
        <f>26-K241</f>
        <v>4</v>
      </c>
      <c r="L240" s="39">
        <f t="shared" si="77"/>
        <v>240</v>
      </c>
      <c r="M240" s="40">
        <f>VLOOKUP(D240,[1]apoio_Preços_MGS!$A$6:$AN$238,18,FALSE)</f>
        <v>1874.4100050803386</v>
      </c>
      <c r="N240" s="40">
        <f>VLOOKUP(D240,[1]apoio_Preços_MGS!$A$6:$AN$238,19,FALSE)</f>
        <v>0</v>
      </c>
      <c r="O240" s="40">
        <f>VLOOKUP(D240,[1]apoio_Preços_MGS!$A$6:$AN$238,20,FALSE)</f>
        <v>436.66153900513211</v>
      </c>
      <c r="P240" s="40">
        <f>VLOOKUP(D240,[1]apoio_Preços_MGS!$A$6:$AN$238,21,FALSE)</f>
        <v>9.5316509988017657</v>
      </c>
      <c r="Q240" s="40">
        <f>VLOOKUP(D240,[1]apoio_Preços_MGS!$A$6:$AN$238,22,FALSE)</f>
        <v>35.743680522399245</v>
      </c>
      <c r="R240" s="40">
        <f>VLOOKUP(D240,[1]apoio_Preços_MGS!$A$6:$AN$238,23,FALSE)</f>
        <v>0</v>
      </c>
      <c r="S240" s="40">
        <f>VLOOKUP(D240,[1]apoio_Preços_MGS!$A$6:$AN$238,24,FALSE)</f>
        <v>0</v>
      </c>
      <c r="T240" s="40">
        <f>VLOOKUP(D240,[1]apoio_Preços_MGS!$A$6:$AN$238,25,FALSE)</f>
        <v>2.6033472292782478</v>
      </c>
      <c r="U240" s="40">
        <f t="shared" si="107"/>
        <v>2358.9502228359502</v>
      </c>
      <c r="V240" s="41">
        <f>VLOOKUP(D240,[1]apoio_Preços_MGS!$A$6:$AN$238,27,FALSE)</f>
        <v>0.81799999999999995</v>
      </c>
      <c r="W240" s="40">
        <f t="shared" si="108"/>
        <v>1929.621282279807</v>
      </c>
      <c r="X240" s="40">
        <f>VLOOKUP(D240,[1]apoio_Preços_MGS!$A$6:$AN$238,29,FALSE)</f>
        <v>51.978333333333332</v>
      </c>
      <c r="Y240" s="40">
        <f>VLOOKUP(D240,[1]apoio_Preços_MGS!$A$6:$AN$238,30,FALSE)</f>
        <v>30.240899280575537</v>
      </c>
      <c r="Z240" s="40">
        <f t="shared" si="78"/>
        <v>82.219232613908872</v>
      </c>
      <c r="AA240" s="40">
        <f>VLOOKUP(D240,[1]apoio_Preços_MGS!$A$6:$AN$238,32,FALSE)</f>
        <v>3.5988672097542498</v>
      </c>
      <c r="AB240" s="40">
        <f>VLOOKUP(D240,[1]apoio_Preços_MGS!$A$6:$AN$238,33,FALSE)</f>
        <v>154.19605323740996</v>
      </c>
      <c r="AC240" s="41">
        <f>VLOOKUP(D240,[1]apoio_Preços_MGS!$A$6:$AN$238,34,FALSE)</f>
        <v>3.4228710630741767E-2</v>
      </c>
      <c r="AD240" s="40">
        <f>(U240+W240+Z240+AB240+AA240+VLOOKUP(C240,[1]apoio_Prec_Folha!$A:$S,7,FALSE))*AC240</f>
        <v>173.90349202659613</v>
      </c>
      <c r="AE240" s="42">
        <f>VLOOKUP(D240,[1]apoio_Preços_MGS!$A$6:$AN$238,36,FALSE)</f>
        <v>7.0000000000000007E-2</v>
      </c>
      <c r="AF240" s="40">
        <f>(U240+W240+Z240+AB240+AD240+AA240+VLOOKUP(C240,[1]apoio_Prec_Folha!$A:$S,7,FALSE))*AE240</f>
        <v>367.81750382359246</v>
      </c>
      <c r="AG240" s="40">
        <f t="shared" si="79"/>
        <v>5070.3</v>
      </c>
      <c r="AH240" s="43">
        <f t="shared" si="80"/>
        <v>5912.88</v>
      </c>
      <c r="AI240" s="43">
        <f t="shared" si="81"/>
        <v>23651.52</v>
      </c>
      <c r="AJ240" s="43">
        <f t="shared" si="82"/>
        <v>1419091.2</v>
      </c>
      <c r="AK240" s="44">
        <f>VLOOKUP(D240,[1]apoio_Preços_MGS!$A$6:$AN$238,39,FALSE)</f>
        <v>200.00000000000003</v>
      </c>
      <c r="AL240" s="44">
        <f>IF(J240="demais municípios",VLOOKUP(D240,[1]apoio_Preços_MGS!$A$6:$AN$238,39,FALSE),0)</f>
        <v>200.00000000000003</v>
      </c>
      <c r="AM240" s="44">
        <v>0</v>
      </c>
      <c r="AN240" s="45">
        <f t="shared" si="109"/>
        <v>800.00000000000011</v>
      </c>
      <c r="AO240" s="44">
        <f>VLOOKUP(D240,[1]apoio_Preços_MGS!$A$6:$AN$238,40,FALSE)</f>
        <v>552.04</v>
      </c>
      <c r="AP240" s="44">
        <f>IF(J240="demais municípios",VLOOKUP(D240,[1]apoio_Preços_MGS!$A$6:$AN$238,40,FALSE),0)</f>
        <v>552.04</v>
      </c>
      <c r="AQ240" s="44">
        <v>0</v>
      </c>
      <c r="AR240" s="45">
        <f t="shared" si="110"/>
        <v>2208.16</v>
      </c>
      <c r="AS240" s="45">
        <f t="shared" si="91"/>
        <v>3008.16</v>
      </c>
      <c r="AT240" s="45">
        <f t="shared" si="92"/>
        <v>180489.59999999998</v>
      </c>
      <c r="AU240" s="62"/>
      <c r="AV240" s="46"/>
      <c r="AW240" s="47"/>
      <c r="AX240" s="48"/>
      <c r="AY240" s="49"/>
      <c r="BA240" s="48"/>
    </row>
    <row r="241" spans="1:53" ht="19.5" customHeight="1" x14ac:dyDescent="0.25">
      <c r="A241" s="33" t="str">
        <f t="shared" si="87"/>
        <v>106186440,05</v>
      </c>
      <c r="B241" s="33" t="str">
        <f t="shared" si="88"/>
        <v>1930,05</v>
      </c>
      <c r="C241" s="34" t="str">
        <f>VLOOKUP(D241,[1]apoio_Preços_MGS!$A$6:$B$238,2,FALSE)</f>
        <v>COPEIRO</v>
      </c>
      <c r="D241" s="35">
        <v>193</v>
      </c>
      <c r="E241" s="33" t="str">
        <f>VLOOKUP(D241,[1]apoio_Preços_MGS!$A$6:$F$238,6,FALSE)</f>
        <v>COPEIRO - 12x36 NOTURNO - 44H</v>
      </c>
      <c r="F241" s="36">
        <f>IFERROR(VLOOKUP(D241,'[1]apoio_cód catmas'!$B$2:$C$863,2,FALSE),0)</f>
        <v>106186</v>
      </c>
      <c r="G241" s="33" t="str">
        <f>IF(H241="N/A",VLOOKUP(F241&amp;40,'[1]apoio_cód catmas'!$A$1:$G$233,4,FALSE),VLOOKUP(F241&amp;H241,'[1]apoio_cód catmas'!$A$1:$G$233,4,FALSE))</f>
        <v>COPEIRO - 12X36 NOTURNO - 44H</v>
      </c>
      <c r="H241" s="36">
        <v>44</v>
      </c>
      <c r="I241" s="37">
        <v>0.05</v>
      </c>
      <c r="J241" s="38" t="s">
        <v>47</v>
      </c>
      <c r="K241" s="39">
        <v>22</v>
      </c>
      <c r="L241" s="39">
        <f t="shared" si="77"/>
        <v>1320</v>
      </c>
      <c r="M241" s="40">
        <f>VLOOKUP(D241,[1]apoio_Preços_MGS!$A$6:$AN$238,18,FALSE)</f>
        <v>1874.4100050803386</v>
      </c>
      <c r="N241" s="40">
        <f>VLOOKUP(D241,[1]apoio_Preços_MGS!$A$6:$AN$238,19,FALSE)</f>
        <v>0</v>
      </c>
      <c r="O241" s="40">
        <f>VLOOKUP(D241,[1]apoio_Preços_MGS!$A$6:$AN$238,20,FALSE)</f>
        <v>436.66153900513211</v>
      </c>
      <c r="P241" s="40">
        <f>VLOOKUP(D241,[1]apoio_Preços_MGS!$A$6:$AN$238,21,FALSE)</f>
        <v>9.5316509988017657</v>
      </c>
      <c r="Q241" s="40">
        <f>VLOOKUP(D241,[1]apoio_Preços_MGS!$A$6:$AN$238,22,FALSE)</f>
        <v>35.743680522399245</v>
      </c>
      <c r="R241" s="40">
        <f>VLOOKUP(D241,[1]apoio_Preços_MGS!$A$6:$AN$238,23,FALSE)</f>
        <v>0</v>
      </c>
      <c r="S241" s="40">
        <f>VLOOKUP(D241,[1]apoio_Preços_MGS!$A$6:$AN$238,24,FALSE)</f>
        <v>0</v>
      </c>
      <c r="T241" s="40">
        <f>VLOOKUP(D241,[1]apoio_Preços_MGS!$A$6:$AN$238,25,FALSE)</f>
        <v>2.6033472292782478</v>
      </c>
      <c r="U241" s="40">
        <f t="shared" si="107"/>
        <v>2358.9502228359502</v>
      </c>
      <c r="V241" s="41">
        <f>VLOOKUP(D241,[1]apoio_Preços_MGS!$A$6:$AN$238,27,FALSE)</f>
        <v>0.81799999999999995</v>
      </c>
      <c r="W241" s="40">
        <f t="shared" si="108"/>
        <v>1929.621282279807</v>
      </c>
      <c r="X241" s="40">
        <f>VLOOKUP(D241,[1]apoio_Preços_MGS!$A$6:$AN$238,29,FALSE)</f>
        <v>51.978333333333332</v>
      </c>
      <c r="Y241" s="40">
        <f>VLOOKUP(D241,[1]apoio_Preços_MGS!$A$6:$AN$238,30,FALSE)</f>
        <v>30.240899280575537</v>
      </c>
      <c r="Z241" s="40">
        <f t="shared" si="78"/>
        <v>82.219232613908872</v>
      </c>
      <c r="AA241" s="40">
        <f>VLOOKUP(D241,[1]apoio_Preços_MGS!$A$6:$AN$238,32,FALSE)</f>
        <v>3.5988672097542498</v>
      </c>
      <c r="AB241" s="40">
        <f>VLOOKUP(D241,[1]apoio_Preços_MGS!$A$6:$AN$238,33,FALSE)</f>
        <v>154.19605323740996</v>
      </c>
      <c r="AC241" s="41">
        <f>VLOOKUP(D241,[1]apoio_Preços_MGS!$A$6:$AN$238,34,FALSE)</f>
        <v>3.4228710630741767E-2</v>
      </c>
      <c r="AD241" s="40">
        <f>(U241+W241+Z241+AB241+AA241+VLOOKUP(C241,[1]apoio_Prec_Folha!$A:$S,7,FALSE))*AC241</f>
        <v>173.90349202659613</v>
      </c>
      <c r="AE241" s="42">
        <f>VLOOKUP(D241,[1]apoio_Preços_MGS!$A$6:$AN$238,36,FALSE)</f>
        <v>7.0000000000000007E-2</v>
      </c>
      <c r="AF241" s="40">
        <f>(U241+W241+Z241+AB241+AD241+AA241+VLOOKUP(C241,[1]apoio_Prec_Folha!$A:$S,7,FALSE))*AE241</f>
        <v>367.81750382359246</v>
      </c>
      <c r="AG241" s="40">
        <f t="shared" si="79"/>
        <v>5070.3</v>
      </c>
      <c r="AH241" s="43">
        <f t="shared" si="80"/>
        <v>5912.88</v>
      </c>
      <c r="AI241" s="43">
        <f t="shared" si="81"/>
        <v>130083.36</v>
      </c>
      <c r="AJ241" s="43">
        <f t="shared" si="82"/>
        <v>7805001.6000000006</v>
      </c>
      <c r="AK241" s="44">
        <f>VLOOKUP(D241,[1]apoio_Preços_MGS!$A$6:$AN$238,39,FALSE)</f>
        <v>200.00000000000003</v>
      </c>
      <c r="AL241" s="44">
        <f>IF(J241="demais municípios",VLOOKUP(D241,[1]apoio_Preços_MGS!$A$6:$AN$238,39,FALSE),0)</f>
        <v>0</v>
      </c>
      <c r="AM241" s="44">
        <f>TRUNC(ROUND(($I241)/(1-($I241)),5)*VLOOKUP(D241,[1]apoio_Preços_MGS!$A$6:$AN$238,39,FALSE)+VLOOKUP(D241,[1]apoio_Preços_MGS!$A$6:$AN$238,39,FALSE),2)</f>
        <v>210.52</v>
      </c>
      <c r="AN241" s="45">
        <f t="shared" si="93"/>
        <v>4631.4400000000005</v>
      </c>
      <c r="AO241" s="44">
        <f>VLOOKUP(D241,[1]apoio_Preços_MGS!$A$6:$AN$238,40,FALSE)</f>
        <v>552.04</v>
      </c>
      <c r="AP241" s="44">
        <f>IF(J241="demais municípios",VLOOKUP(D241,[1]apoio_Preços_MGS!$A$6:$AN$238,40,FALSE),0)</f>
        <v>0</v>
      </c>
      <c r="AQ241" s="44">
        <f>TRUNC(ROUND(($I241)/(1-($I241)),5)*VLOOKUP(D241,[1]apoio_Preços_MGS!$A$6:$AN$238,40,FALSE)+VLOOKUP(D241,[1]apoio_Preços_MGS!$A$6:$AN$238,40,FALSE),2)</f>
        <v>581.09</v>
      </c>
      <c r="AR241" s="45">
        <f t="shared" si="94"/>
        <v>12783.980000000001</v>
      </c>
      <c r="AS241" s="45">
        <f t="shared" si="91"/>
        <v>17415.420000000002</v>
      </c>
      <c r="AT241" s="45">
        <f t="shared" si="92"/>
        <v>1044925.2000000001</v>
      </c>
      <c r="AU241" s="62"/>
      <c r="AV241" s="46"/>
      <c r="AW241" s="47"/>
      <c r="AX241" s="48"/>
      <c r="AY241" s="49"/>
      <c r="BA241" s="48"/>
    </row>
    <row r="242" spans="1:53" ht="19.5" customHeight="1" x14ac:dyDescent="0.25">
      <c r="A242" s="33" t="str">
        <f t="shared" si="87"/>
        <v>106194300,05</v>
      </c>
      <c r="B242" s="33" t="str">
        <f t="shared" si="88"/>
        <v>1910,05</v>
      </c>
      <c r="C242" s="34" t="str">
        <f>VLOOKUP(D242,[1]apoio_Preços_MGS!$A$6:$B$238,2,FALSE)</f>
        <v>COPEIRO</v>
      </c>
      <c r="D242" s="35">
        <v>191</v>
      </c>
      <c r="E242" s="33" t="str">
        <f>VLOOKUP(D242,[1]apoio_Preços_MGS!$A$6:$F$238,6,FALSE)</f>
        <v>COPEIRO - DIARISTA DIURNO - 30H</v>
      </c>
      <c r="F242" s="36">
        <f>IFERROR(VLOOKUP(D242,'[1]apoio_cód catmas'!$B$2:$C$863,2,FALSE),0)</f>
        <v>106194</v>
      </c>
      <c r="G242" s="33" t="str">
        <f>IF(H242="N/A",VLOOKUP(F242&amp;40,'[1]apoio_cód catmas'!$A$1:$G$233,4,FALSE),VLOOKUP(F242&amp;H242,'[1]apoio_cód catmas'!$A$1:$G$233,4,FALSE))</f>
        <v>COPEIRO - 30H, 40H OU 44H</v>
      </c>
      <c r="H242" s="36">
        <v>30</v>
      </c>
      <c r="I242" s="37">
        <v>0.05</v>
      </c>
      <c r="J242" s="38" t="s">
        <v>47</v>
      </c>
      <c r="K242" s="39">
        <v>4</v>
      </c>
      <c r="L242" s="39">
        <f t="shared" si="77"/>
        <v>240</v>
      </c>
      <c r="M242" s="40">
        <f>VLOOKUP(D242,[1]apoio_Preços_MGS!$A$6:$AN$238,18,FALSE)</f>
        <v>1278.0068216456852</v>
      </c>
      <c r="N242" s="40">
        <f>VLOOKUP(D242,[1]apoio_Preços_MGS!$A$6:$AN$238,19,FALSE)</f>
        <v>0</v>
      </c>
      <c r="O242" s="40">
        <f>VLOOKUP(D242,[1]apoio_Preços_MGS!$A$6:$AN$238,20,FALSE)</f>
        <v>0</v>
      </c>
      <c r="P242" s="40">
        <f>VLOOKUP(D242,[1]apoio_Preços_MGS!$A$6:$AN$238,21,FALSE)</f>
        <v>0</v>
      </c>
      <c r="Q242" s="40">
        <f>VLOOKUP(D242,[1]apoio_Preços_MGS!$A$6:$AN$238,22,FALSE)</f>
        <v>0</v>
      </c>
      <c r="R242" s="40">
        <f>VLOOKUP(D242,[1]apoio_Preços_MGS!$A$6:$AN$238,23,FALSE)</f>
        <v>0</v>
      </c>
      <c r="S242" s="40">
        <f>VLOOKUP(D242,[1]apoio_Preços_MGS!$A$6:$AN$238,24,FALSE)</f>
        <v>0</v>
      </c>
      <c r="T242" s="40">
        <f>VLOOKUP(D242,[1]apoio_Preços_MGS!$A$6:$AN$238,25,FALSE)</f>
        <v>0</v>
      </c>
      <c r="U242" s="40">
        <f t="shared" si="107"/>
        <v>1278.0068216456852</v>
      </c>
      <c r="V242" s="41">
        <f>VLOOKUP(D242,[1]apoio_Preços_MGS!$A$6:$AN$238,27,FALSE)</f>
        <v>0.81799999999999995</v>
      </c>
      <c r="W242" s="40">
        <f t="shared" si="108"/>
        <v>1045.4095801061706</v>
      </c>
      <c r="X242" s="40">
        <f>VLOOKUP(D242,[1]apoio_Preços_MGS!$A$6:$AN$238,29,FALSE)</f>
        <v>51.978333333333332</v>
      </c>
      <c r="Y242" s="40">
        <f>VLOOKUP(D242,[1]apoio_Preços_MGS!$A$6:$AN$238,30,FALSE)</f>
        <v>30.240899280575537</v>
      </c>
      <c r="Z242" s="40">
        <f t="shared" si="78"/>
        <v>82.219232613908872</v>
      </c>
      <c r="AA242" s="40">
        <f>VLOOKUP(D242,[1]apoio_Preços_MGS!$A$6:$AN$238,32,FALSE)</f>
        <v>2.4537730975597154</v>
      </c>
      <c r="AB242" s="40">
        <f>VLOOKUP(D242,[1]apoio_Preços_MGS!$A$6:$AN$238,33,FALSE)</f>
        <v>181.47890804447346</v>
      </c>
      <c r="AC242" s="41">
        <f>VLOOKUP(D242,[1]apoio_Preços_MGS!$A$6:$AN$238,34,FALSE)</f>
        <v>3.4228710630741767E-2</v>
      </c>
      <c r="AD242" s="40">
        <f>(U242+W242+Z242+AB242+AA242+VLOOKUP(C242,[1]apoio_Prec_Folha!$A:$S,7,FALSE))*AC242</f>
        <v>107.53342849638798</v>
      </c>
      <c r="AE242" s="42">
        <f>VLOOKUP(D242,[1]apoio_Preços_MGS!$A$6:$AN$238,36,FALSE)</f>
        <v>7.0000000000000007E-2</v>
      </c>
      <c r="AF242" s="40">
        <f>(U242+W242+Z242+AB242+AD242+AA242+VLOOKUP(C242,[1]apoio_Prec_Folha!$A:$S,7,FALSE))*AE242</f>
        <v>227.44038538964566</v>
      </c>
      <c r="AG242" s="40">
        <f t="shared" si="79"/>
        <v>2924.54</v>
      </c>
      <c r="AH242" s="43">
        <f t="shared" si="80"/>
        <v>3410.54</v>
      </c>
      <c r="AI242" s="43">
        <f t="shared" si="81"/>
        <v>13642.16</v>
      </c>
      <c r="AJ242" s="43">
        <f t="shared" si="82"/>
        <v>818529.6</v>
      </c>
      <c r="AK242" s="44">
        <f>VLOOKUP(D242,[1]apoio_Preços_MGS!$A$6:$AN$238,39,FALSE)</f>
        <v>136.36363636363637</v>
      </c>
      <c r="AL242" s="44">
        <f>IF(J242="demais municípios",VLOOKUP(D242,[1]apoio_Preços_MGS!$A$6:$AN$238,39,FALSE),0)</f>
        <v>0</v>
      </c>
      <c r="AM242" s="44">
        <f>TRUNC(ROUND(($I242)/(1-($I242)),5)*VLOOKUP(D242,[1]apoio_Preços_MGS!$A$6:$AN$238,39,FALSE)+VLOOKUP(D242,[1]apoio_Preços_MGS!$A$6:$AN$238,39,FALSE),2)</f>
        <v>143.54</v>
      </c>
      <c r="AN242" s="45">
        <f t="shared" si="93"/>
        <v>574.16</v>
      </c>
      <c r="AO242" s="44">
        <f>VLOOKUP(D242,[1]apoio_Preços_MGS!$A$6:$AN$238,40,FALSE)</f>
        <v>552.04</v>
      </c>
      <c r="AP242" s="44">
        <f>IF(J242="demais municípios",VLOOKUP(D242,[1]apoio_Preços_MGS!$A$6:$AN$238,40,FALSE),0)</f>
        <v>0</v>
      </c>
      <c r="AQ242" s="44">
        <f>TRUNC(ROUND(($I242)/(1-($I242)),5)*VLOOKUP(D242,[1]apoio_Preços_MGS!$A$6:$AN$238,40,FALSE)+VLOOKUP(D242,[1]apoio_Preços_MGS!$A$6:$AN$238,40,FALSE),2)</f>
        <v>581.09</v>
      </c>
      <c r="AR242" s="45">
        <f t="shared" si="94"/>
        <v>2324.36</v>
      </c>
      <c r="AS242" s="45">
        <f t="shared" si="91"/>
        <v>2898.52</v>
      </c>
      <c r="AT242" s="45">
        <f t="shared" si="92"/>
        <v>173911.2</v>
      </c>
      <c r="AU242" s="62"/>
      <c r="AV242" s="46"/>
      <c r="AW242" s="47"/>
      <c r="AX242" s="48"/>
      <c r="AY242" s="49"/>
      <c r="BA242" s="48"/>
    </row>
    <row r="243" spans="1:53" ht="19.5" customHeight="1" x14ac:dyDescent="0.25">
      <c r="A243" s="33" t="str">
        <f t="shared" si="87"/>
        <v>106194360,05</v>
      </c>
      <c r="B243" s="33" t="str">
        <f t="shared" si="88"/>
        <v>11670,05</v>
      </c>
      <c r="C243" s="34" t="str">
        <f>VLOOKUP(D243,[1]apoio_Preços_MGS!$A$6:$B$238,2,FALSE)</f>
        <v>COPEIRO</v>
      </c>
      <c r="D243" s="35">
        <v>1167</v>
      </c>
      <c r="E243" s="33" t="str">
        <f>VLOOKUP(D243,[1]apoio_Preços_MGS!$A$6:$F$238,6,FALSE)</f>
        <v>COPEIRO - DIARISTA DIURNO - 36H</v>
      </c>
      <c r="F243" s="36">
        <f>IFERROR(VLOOKUP(D243,'[1]apoio_cód catmas'!$B$2:$C$863,2,FALSE),0)</f>
        <v>106194</v>
      </c>
      <c r="G243" s="33" t="str">
        <f>IF(H243="N/A",VLOOKUP(F243&amp;40,'[1]apoio_cód catmas'!$A$1:$G$233,4,FALSE),VLOOKUP(F243&amp;H243,'[1]apoio_cód catmas'!$A$1:$G$233,4,FALSE))</f>
        <v>COPEIRO - 30H, 40H OU 44H</v>
      </c>
      <c r="H243" s="36">
        <v>36</v>
      </c>
      <c r="I243" s="37">
        <v>0.05</v>
      </c>
      <c r="J243" s="38" t="s">
        <v>47</v>
      </c>
      <c r="K243" s="39">
        <v>1</v>
      </c>
      <c r="L243" s="39">
        <f t="shared" si="77"/>
        <v>60</v>
      </c>
      <c r="M243" s="40">
        <f>VLOOKUP(D243,[1]apoio_Preços_MGS!$A$6:$AN$238,18,FALSE)</f>
        <v>1533.6081859748224</v>
      </c>
      <c r="N243" s="40">
        <f>VLOOKUP(D243,[1]apoio_Preços_MGS!$A$6:$AN$238,19,FALSE)</f>
        <v>0</v>
      </c>
      <c r="O243" s="40">
        <f>VLOOKUP(D243,[1]apoio_Preços_MGS!$A$6:$AN$238,20,FALSE)</f>
        <v>0</v>
      </c>
      <c r="P243" s="40">
        <f>VLOOKUP(D243,[1]apoio_Preços_MGS!$A$6:$AN$238,21,FALSE)</f>
        <v>0</v>
      </c>
      <c r="Q243" s="40">
        <f>VLOOKUP(D243,[1]apoio_Preços_MGS!$A$6:$AN$238,22,FALSE)</f>
        <v>0</v>
      </c>
      <c r="R243" s="40">
        <f>VLOOKUP(D243,[1]apoio_Preços_MGS!$A$6:$AN$238,23,FALSE)</f>
        <v>0</v>
      </c>
      <c r="S243" s="40">
        <f>VLOOKUP(D243,[1]apoio_Preços_MGS!$A$6:$AN$238,24,FALSE)</f>
        <v>0</v>
      </c>
      <c r="T243" s="40">
        <f>VLOOKUP(D243,[1]apoio_Preços_MGS!$A$6:$AN$238,25,FALSE)</f>
        <v>0</v>
      </c>
      <c r="U243" s="40">
        <f t="shared" si="107"/>
        <v>1533.6081859748224</v>
      </c>
      <c r="V243" s="41">
        <f>VLOOKUP(D243,[1]apoio_Preços_MGS!$A$6:$AN$238,27,FALSE)</f>
        <v>0.81799999999999995</v>
      </c>
      <c r="W243" s="40">
        <f t="shared" si="108"/>
        <v>1254.4914961274046</v>
      </c>
      <c r="X243" s="40">
        <f>VLOOKUP(D243,[1]apoio_Preços_MGS!$A$6:$AN$238,29,FALSE)</f>
        <v>51.978333333333332</v>
      </c>
      <c r="Y243" s="40">
        <f>VLOOKUP(D243,[1]apoio_Preços_MGS!$A$6:$AN$238,30,FALSE)</f>
        <v>30.240899280575537</v>
      </c>
      <c r="Z243" s="40">
        <f t="shared" si="78"/>
        <v>82.219232613908872</v>
      </c>
      <c r="AA243" s="40">
        <f>VLOOKUP(D243,[1]apoio_Preços_MGS!$A$6:$AN$238,32,FALSE)</f>
        <v>2.9445277170716588</v>
      </c>
      <c r="AB243" s="40">
        <f>VLOOKUP(D243,[1]apoio_Preços_MGS!$A$6:$AN$238,33,FALSE)</f>
        <v>169.78625598430338</v>
      </c>
      <c r="AC243" s="41">
        <f>VLOOKUP(D243,[1]apoio_Preços_MGS!$A$6:$AN$238,34,FALSE)</f>
        <v>3.4228710630741767E-2</v>
      </c>
      <c r="AD243" s="40">
        <f>(U243+W243+Z243+AB243+AA243+VLOOKUP(C243,[1]apoio_Prec_Folha!$A:$S,7,FALSE))*AC243</f>
        <v>123.05551152843314</v>
      </c>
      <c r="AE243" s="42">
        <f>VLOOKUP(D243,[1]apoio_Preços_MGS!$A$6:$AN$238,36,FALSE)</f>
        <v>7.0000000000000007E-2</v>
      </c>
      <c r="AF243" s="40">
        <f>(U243+W243+Z243+AB243+AD243+AA243+VLOOKUP(C243,[1]apoio_Prec_Folha!$A:$S,7,FALSE))*AE243</f>
        <v>260.27062800556877</v>
      </c>
      <c r="AG243" s="40">
        <f t="shared" si="79"/>
        <v>3426.37</v>
      </c>
      <c r="AH243" s="43">
        <f t="shared" si="80"/>
        <v>3995.76</v>
      </c>
      <c r="AI243" s="43">
        <f t="shared" si="81"/>
        <v>3995.76</v>
      </c>
      <c r="AJ243" s="43">
        <f t="shared" si="82"/>
        <v>239745.6</v>
      </c>
      <c r="AK243" s="44">
        <f>VLOOKUP(D243,[1]apoio_Preços_MGS!$A$6:$AN$238,39,FALSE)</f>
        <v>163.63636363636365</v>
      </c>
      <c r="AL243" s="44">
        <f>IF(J243="demais municípios",VLOOKUP(D243,[1]apoio_Preços_MGS!$A$6:$AN$238,39,FALSE),0)</f>
        <v>0</v>
      </c>
      <c r="AM243" s="44">
        <f>TRUNC(ROUND(($I243)/(1-($I243)),5)*VLOOKUP(D243,[1]apoio_Preços_MGS!$A$6:$AN$238,39,FALSE)+VLOOKUP(D243,[1]apoio_Preços_MGS!$A$6:$AN$238,39,FALSE),2)</f>
        <v>172.24</v>
      </c>
      <c r="AN243" s="45">
        <f t="shared" si="93"/>
        <v>172.24</v>
      </c>
      <c r="AO243" s="44">
        <f>VLOOKUP(D243,[1]apoio_Preços_MGS!$A$6:$AN$238,40,FALSE)</f>
        <v>552.04</v>
      </c>
      <c r="AP243" s="44">
        <f>IF(J243="demais municípios",VLOOKUP(D243,[1]apoio_Preços_MGS!$A$6:$AN$238,40,FALSE),0)</f>
        <v>0</v>
      </c>
      <c r="AQ243" s="44">
        <f>TRUNC(ROUND(($I243)/(1-($I243)),5)*VLOOKUP(D243,[1]apoio_Preços_MGS!$A$6:$AN$238,40,FALSE)+VLOOKUP(D243,[1]apoio_Preços_MGS!$A$6:$AN$238,40,FALSE),2)</f>
        <v>581.09</v>
      </c>
      <c r="AR243" s="45">
        <f t="shared" si="94"/>
        <v>581.09</v>
      </c>
      <c r="AS243" s="45">
        <f t="shared" si="91"/>
        <v>753.33</v>
      </c>
      <c r="AT243" s="45">
        <f t="shared" si="92"/>
        <v>45199.8</v>
      </c>
      <c r="AU243" s="62"/>
      <c r="AV243" s="46"/>
      <c r="AW243" s="47"/>
      <c r="AX243" s="48"/>
      <c r="AY243" s="49"/>
      <c r="BA243" s="48"/>
    </row>
    <row r="244" spans="1:53" ht="19.5" customHeight="1" x14ac:dyDescent="0.25">
      <c r="A244" s="33" t="str">
        <f t="shared" si="87"/>
        <v>106194400,02</v>
      </c>
      <c r="B244" s="33" t="str">
        <f t="shared" si="88"/>
        <v>1890,02</v>
      </c>
      <c r="C244" s="34" t="str">
        <f>VLOOKUP(D244,[1]apoio_Preços_MGS!$A$6:$B$238,2,FALSE)</f>
        <v>COPEIRO</v>
      </c>
      <c r="D244" s="35">
        <v>189</v>
      </c>
      <c r="E244" s="33" t="str">
        <f>VLOOKUP(D244,[1]apoio_Preços_MGS!$A$6:$F$238,6,FALSE)</f>
        <v>COPEIRO - DIARISTA DIURNO - 40H</v>
      </c>
      <c r="F244" s="36">
        <f>IFERROR(VLOOKUP(D244,'[1]apoio_cód catmas'!$B$2:$C$863,2,FALSE),0)</f>
        <v>106194</v>
      </c>
      <c r="G244" s="33" t="str">
        <f>IF(H244="N/A",VLOOKUP(F244&amp;40,'[1]apoio_cód catmas'!$A$1:$G$233,4,FALSE),VLOOKUP(F244&amp;H244,'[1]apoio_cód catmas'!$A$1:$G$233,4,FALSE))</f>
        <v>COPEIRO - 30H, 40H OU 44H</v>
      </c>
      <c r="H244" s="36">
        <v>40</v>
      </c>
      <c r="I244" s="37">
        <v>0.02</v>
      </c>
      <c r="J244" s="38" t="s">
        <v>46</v>
      </c>
      <c r="K244" s="39">
        <v>4</v>
      </c>
      <c r="L244" s="39">
        <f t="shared" si="77"/>
        <v>240</v>
      </c>
      <c r="M244" s="40">
        <f>VLOOKUP(D244,[1]apoio_Preços_MGS!$A$6:$AN$238,18,FALSE)</f>
        <v>1704.0090955275805</v>
      </c>
      <c r="N244" s="40">
        <f>VLOOKUP(D244,[1]apoio_Preços_MGS!$A$6:$AN$238,19,FALSE)</f>
        <v>0</v>
      </c>
      <c r="O244" s="40">
        <f>VLOOKUP(D244,[1]apoio_Preços_MGS!$A$6:$AN$238,20,FALSE)</f>
        <v>0</v>
      </c>
      <c r="P244" s="40">
        <f>VLOOKUP(D244,[1]apoio_Preços_MGS!$A$6:$AN$238,21,FALSE)</f>
        <v>0</v>
      </c>
      <c r="Q244" s="40">
        <f>VLOOKUP(D244,[1]apoio_Preços_MGS!$A$6:$AN$238,22,FALSE)</f>
        <v>0</v>
      </c>
      <c r="R244" s="40">
        <f>VLOOKUP(D244,[1]apoio_Preços_MGS!$A$6:$AN$238,23,FALSE)</f>
        <v>0</v>
      </c>
      <c r="S244" s="40">
        <f>VLOOKUP(D244,[1]apoio_Preços_MGS!$A$6:$AN$238,24,FALSE)</f>
        <v>0</v>
      </c>
      <c r="T244" s="40">
        <f>VLOOKUP(D244,[1]apoio_Preços_MGS!$A$6:$AN$238,25,FALSE)</f>
        <v>0</v>
      </c>
      <c r="U244" s="40">
        <f t="shared" si="107"/>
        <v>1704.0090955275805</v>
      </c>
      <c r="V244" s="41">
        <f>VLOOKUP(D244,[1]apoio_Preços_MGS!$A$6:$AN$238,27,FALSE)</f>
        <v>0.81799999999999995</v>
      </c>
      <c r="W244" s="40">
        <f t="shared" si="108"/>
        <v>1393.8794401415607</v>
      </c>
      <c r="X244" s="40">
        <f>VLOOKUP(D244,[1]apoio_Preços_MGS!$A$6:$AN$238,29,FALSE)</f>
        <v>51.978333333333332</v>
      </c>
      <c r="Y244" s="40">
        <f>VLOOKUP(D244,[1]apoio_Preços_MGS!$A$6:$AN$238,30,FALSE)</f>
        <v>30.240899280575537</v>
      </c>
      <c r="Z244" s="40">
        <f t="shared" si="78"/>
        <v>82.219232613908872</v>
      </c>
      <c r="AA244" s="40">
        <f>VLOOKUP(D244,[1]apoio_Preços_MGS!$A$6:$AN$238,32,FALSE)</f>
        <v>3.2716974634129543</v>
      </c>
      <c r="AB244" s="40">
        <f>VLOOKUP(D244,[1]apoio_Preços_MGS!$A$6:$AN$238,33,FALSE)</f>
        <v>161.99115461085665</v>
      </c>
      <c r="AC244" s="41">
        <f>VLOOKUP(D244,[1]apoio_Preços_MGS!$A$6:$AN$238,34,FALSE)</f>
        <v>3.4228710630741767E-2</v>
      </c>
      <c r="AD244" s="40">
        <f>(U244+W244+Z244+AB244+AA244+VLOOKUP(C244,[1]apoio_Prec_Folha!$A:$S,7,FALSE))*AC244</f>
        <v>133.40356688312994</v>
      </c>
      <c r="AE244" s="42">
        <f>VLOOKUP(D244,[1]apoio_Preços_MGS!$A$6:$AN$238,36,FALSE)</f>
        <v>7.0000000000000007E-2</v>
      </c>
      <c r="AF244" s="40">
        <f>(U244+W244+Z244+AB244+AD244+AA244+VLOOKUP(C244,[1]apoio_Prec_Folha!$A:$S,7,FALSE))*AE244</f>
        <v>282.15745641618412</v>
      </c>
      <c r="AG244" s="40">
        <f t="shared" si="79"/>
        <v>3760.93</v>
      </c>
      <c r="AH244" s="43">
        <f t="shared" si="80"/>
        <v>4237.66</v>
      </c>
      <c r="AI244" s="43">
        <f t="shared" si="81"/>
        <v>16950.64</v>
      </c>
      <c r="AJ244" s="43">
        <f t="shared" si="82"/>
        <v>1017038.3999999999</v>
      </c>
      <c r="AK244" s="44">
        <f>VLOOKUP(D244,[1]apoio_Preços_MGS!$A$6:$AN$238,39,FALSE)</f>
        <v>181.81818181818184</v>
      </c>
      <c r="AL244" s="44">
        <f>IF(J244="demais municípios",VLOOKUP(D244,[1]apoio_Preços_MGS!$A$6:$AN$238,39,FALSE),0)</f>
        <v>181.81818181818184</v>
      </c>
      <c r="AM244" s="44">
        <v>0</v>
      </c>
      <c r="AN244" s="45">
        <f t="shared" ref="AN244:AN245" si="111">AK244*K244</f>
        <v>727.27272727272737</v>
      </c>
      <c r="AO244" s="44">
        <f>VLOOKUP(D244,[1]apoio_Preços_MGS!$A$6:$AN$238,40,FALSE)</f>
        <v>552.04</v>
      </c>
      <c r="AP244" s="44">
        <f>IF(J244="demais municípios",VLOOKUP(D244,[1]apoio_Preços_MGS!$A$6:$AN$238,40,FALSE),0)</f>
        <v>552.04</v>
      </c>
      <c r="AQ244" s="44">
        <v>0</v>
      </c>
      <c r="AR244" s="45">
        <f t="shared" ref="AR244:AR245" si="112">AO244*K244</f>
        <v>2208.16</v>
      </c>
      <c r="AS244" s="45">
        <f t="shared" si="91"/>
        <v>2935.4327272727273</v>
      </c>
      <c r="AT244" s="45">
        <f t="shared" si="92"/>
        <v>176125.96363636365</v>
      </c>
      <c r="AU244" s="62"/>
      <c r="AV244" s="46"/>
      <c r="AW244" s="47"/>
      <c r="AX244" s="48"/>
      <c r="AY244" s="49"/>
      <c r="BA244" s="48"/>
    </row>
    <row r="245" spans="1:53" ht="19.5" customHeight="1" x14ac:dyDescent="0.25">
      <c r="A245" s="33" t="str">
        <f t="shared" si="87"/>
        <v>106194400,03</v>
      </c>
      <c r="B245" s="33" t="str">
        <f t="shared" si="88"/>
        <v>1890,03</v>
      </c>
      <c r="C245" s="34" t="str">
        <f>VLOOKUP(D245,[1]apoio_Preços_MGS!$A$6:$B$238,2,FALSE)</f>
        <v>COPEIRO</v>
      </c>
      <c r="D245" s="35">
        <v>189</v>
      </c>
      <c r="E245" s="33" t="str">
        <f>VLOOKUP(D245,[1]apoio_Preços_MGS!$A$6:$F$238,6,FALSE)</f>
        <v>COPEIRO - DIARISTA DIURNO - 40H</v>
      </c>
      <c r="F245" s="36">
        <f>IFERROR(VLOOKUP(D245,'[1]apoio_cód catmas'!$B$2:$C$863,2,FALSE),0)</f>
        <v>106194</v>
      </c>
      <c r="G245" s="33" t="str">
        <f>IF(H245="N/A",VLOOKUP(F245&amp;40,'[1]apoio_cód catmas'!$A$1:$G$233,4,FALSE),VLOOKUP(F245&amp;H245,'[1]apoio_cód catmas'!$A$1:$G$233,4,FALSE))</f>
        <v>COPEIRO - 30H, 40H OU 44H</v>
      </c>
      <c r="H245" s="36">
        <v>40</v>
      </c>
      <c r="I245" s="37">
        <v>0.03</v>
      </c>
      <c r="J245" s="38" t="s">
        <v>46</v>
      </c>
      <c r="K245" s="39">
        <v>2</v>
      </c>
      <c r="L245" s="39">
        <f t="shared" si="77"/>
        <v>120</v>
      </c>
      <c r="M245" s="40">
        <f>VLOOKUP(D245,[1]apoio_Preços_MGS!$A$6:$AN$238,18,FALSE)</f>
        <v>1704.0090955275805</v>
      </c>
      <c r="N245" s="40">
        <f>VLOOKUP(D245,[1]apoio_Preços_MGS!$A$6:$AN$238,19,FALSE)</f>
        <v>0</v>
      </c>
      <c r="O245" s="40">
        <f>VLOOKUP(D245,[1]apoio_Preços_MGS!$A$6:$AN$238,20,FALSE)</f>
        <v>0</v>
      </c>
      <c r="P245" s="40">
        <f>VLOOKUP(D245,[1]apoio_Preços_MGS!$A$6:$AN$238,21,FALSE)</f>
        <v>0</v>
      </c>
      <c r="Q245" s="40">
        <f>VLOOKUP(D245,[1]apoio_Preços_MGS!$A$6:$AN$238,22,FALSE)</f>
        <v>0</v>
      </c>
      <c r="R245" s="40">
        <f>VLOOKUP(D245,[1]apoio_Preços_MGS!$A$6:$AN$238,23,FALSE)</f>
        <v>0</v>
      </c>
      <c r="S245" s="40">
        <f>VLOOKUP(D245,[1]apoio_Preços_MGS!$A$6:$AN$238,24,FALSE)</f>
        <v>0</v>
      </c>
      <c r="T245" s="40">
        <f>VLOOKUP(D245,[1]apoio_Preços_MGS!$A$6:$AN$238,25,FALSE)</f>
        <v>0</v>
      </c>
      <c r="U245" s="40">
        <f t="shared" si="107"/>
        <v>1704.0090955275805</v>
      </c>
      <c r="V245" s="41">
        <f>VLOOKUP(D245,[1]apoio_Preços_MGS!$A$6:$AN$238,27,FALSE)</f>
        <v>0.81799999999999995</v>
      </c>
      <c r="W245" s="40">
        <f t="shared" si="108"/>
        <v>1393.8794401415607</v>
      </c>
      <c r="X245" s="40">
        <f>VLOOKUP(D245,[1]apoio_Preços_MGS!$A$6:$AN$238,29,FALSE)</f>
        <v>51.978333333333332</v>
      </c>
      <c r="Y245" s="40">
        <f>VLOOKUP(D245,[1]apoio_Preços_MGS!$A$6:$AN$238,30,FALSE)</f>
        <v>30.240899280575537</v>
      </c>
      <c r="Z245" s="40">
        <f t="shared" si="78"/>
        <v>82.219232613908872</v>
      </c>
      <c r="AA245" s="40">
        <f>VLOOKUP(D245,[1]apoio_Preços_MGS!$A$6:$AN$238,32,FALSE)</f>
        <v>3.2716974634129543</v>
      </c>
      <c r="AB245" s="40">
        <f>VLOOKUP(D245,[1]apoio_Preços_MGS!$A$6:$AN$238,33,FALSE)</f>
        <v>161.99115461085665</v>
      </c>
      <c r="AC245" s="41">
        <f>VLOOKUP(D245,[1]apoio_Preços_MGS!$A$6:$AN$238,34,FALSE)</f>
        <v>3.4228710630741767E-2</v>
      </c>
      <c r="AD245" s="40">
        <f>(U245+W245+Z245+AB245+AA245+VLOOKUP(C245,[1]apoio_Prec_Folha!$A:$S,7,FALSE))*AC245</f>
        <v>133.40356688312994</v>
      </c>
      <c r="AE245" s="42">
        <f>VLOOKUP(D245,[1]apoio_Preços_MGS!$A$6:$AN$238,36,FALSE)</f>
        <v>7.0000000000000007E-2</v>
      </c>
      <c r="AF245" s="40">
        <f>(U245+W245+Z245+AB245+AD245+AA245+VLOOKUP(C245,[1]apoio_Prec_Folha!$A:$S,7,FALSE))*AE245</f>
        <v>282.15745641618412</v>
      </c>
      <c r="AG245" s="40">
        <f t="shared" si="79"/>
        <v>3760.93</v>
      </c>
      <c r="AH245" s="43">
        <f t="shared" si="80"/>
        <v>4285.95</v>
      </c>
      <c r="AI245" s="43">
        <f t="shared" si="81"/>
        <v>8571.9</v>
      </c>
      <c r="AJ245" s="43">
        <f t="shared" si="82"/>
        <v>514314</v>
      </c>
      <c r="AK245" s="44">
        <f>VLOOKUP(D245,[1]apoio_Preços_MGS!$A$6:$AN$238,39,FALSE)</f>
        <v>181.81818181818184</v>
      </c>
      <c r="AL245" s="44">
        <f>IF(J245="demais municípios",VLOOKUP(D245,[1]apoio_Preços_MGS!$A$6:$AN$238,39,FALSE),0)</f>
        <v>181.81818181818184</v>
      </c>
      <c r="AM245" s="44">
        <v>0</v>
      </c>
      <c r="AN245" s="45">
        <f t="shared" si="111"/>
        <v>363.63636363636368</v>
      </c>
      <c r="AO245" s="44">
        <f>VLOOKUP(D245,[1]apoio_Preços_MGS!$A$6:$AN$238,40,FALSE)</f>
        <v>552.04</v>
      </c>
      <c r="AP245" s="44">
        <f>IF(J245="demais municípios",VLOOKUP(D245,[1]apoio_Preços_MGS!$A$6:$AN$238,40,FALSE),0)</f>
        <v>552.04</v>
      </c>
      <c r="AQ245" s="44">
        <v>0</v>
      </c>
      <c r="AR245" s="45">
        <f t="shared" si="112"/>
        <v>1104.08</v>
      </c>
      <c r="AS245" s="45">
        <f t="shared" si="91"/>
        <v>1467.7163636363637</v>
      </c>
      <c r="AT245" s="45">
        <f t="shared" si="92"/>
        <v>88062.981818181826</v>
      </c>
      <c r="AU245" s="62"/>
      <c r="AV245" s="46"/>
      <c r="AW245" s="47"/>
      <c r="AX245" s="48"/>
      <c r="AY245" s="49"/>
      <c r="BA245" s="48"/>
    </row>
    <row r="246" spans="1:53" ht="19.5" customHeight="1" x14ac:dyDescent="0.25">
      <c r="A246" s="33" t="str">
        <f t="shared" si="87"/>
        <v>106194400,05</v>
      </c>
      <c r="B246" s="33" t="str">
        <f t="shared" si="88"/>
        <v>1890,05</v>
      </c>
      <c r="C246" s="34" t="str">
        <f>VLOOKUP(D246,[1]apoio_Preços_MGS!$A$6:$B$238,2,FALSE)</f>
        <v>COPEIRO</v>
      </c>
      <c r="D246" s="35">
        <v>189</v>
      </c>
      <c r="E246" s="33" t="str">
        <f>VLOOKUP(D246,[1]apoio_Preços_MGS!$A$6:$F$238,6,FALSE)</f>
        <v>COPEIRO - DIARISTA DIURNO - 40H</v>
      </c>
      <c r="F246" s="36">
        <f>IFERROR(VLOOKUP(D246,'[1]apoio_cód catmas'!$B$2:$C$863,2,FALSE),0)</f>
        <v>106194</v>
      </c>
      <c r="G246" s="33" t="str">
        <f>IF(H246="N/A",VLOOKUP(F246&amp;40,'[1]apoio_cód catmas'!$A$1:$G$233,4,FALSE),VLOOKUP(F246&amp;H246,'[1]apoio_cód catmas'!$A$1:$G$233,4,FALSE))</f>
        <v>COPEIRO - 30H, 40H OU 44H</v>
      </c>
      <c r="H246" s="36">
        <v>40</v>
      </c>
      <c r="I246" s="37">
        <v>0.05</v>
      </c>
      <c r="J246" s="38" t="s">
        <v>47</v>
      </c>
      <c r="K246" s="39">
        <v>24</v>
      </c>
      <c r="L246" s="39">
        <f t="shared" si="77"/>
        <v>1440</v>
      </c>
      <c r="M246" s="40">
        <f>VLOOKUP(D246,[1]apoio_Preços_MGS!$A$6:$AN$238,18,FALSE)</f>
        <v>1704.0090955275805</v>
      </c>
      <c r="N246" s="40">
        <f>VLOOKUP(D246,[1]apoio_Preços_MGS!$A$6:$AN$238,19,FALSE)</f>
        <v>0</v>
      </c>
      <c r="O246" s="40">
        <f>VLOOKUP(D246,[1]apoio_Preços_MGS!$A$6:$AN$238,20,FALSE)</f>
        <v>0</v>
      </c>
      <c r="P246" s="40">
        <f>VLOOKUP(D246,[1]apoio_Preços_MGS!$A$6:$AN$238,21,FALSE)</f>
        <v>0</v>
      </c>
      <c r="Q246" s="40">
        <f>VLOOKUP(D246,[1]apoio_Preços_MGS!$A$6:$AN$238,22,FALSE)</f>
        <v>0</v>
      </c>
      <c r="R246" s="40">
        <f>VLOOKUP(D246,[1]apoio_Preços_MGS!$A$6:$AN$238,23,FALSE)</f>
        <v>0</v>
      </c>
      <c r="S246" s="40">
        <f>VLOOKUP(D246,[1]apoio_Preços_MGS!$A$6:$AN$238,24,FALSE)</f>
        <v>0</v>
      </c>
      <c r="T246" s="40">
        <f>VLOOKUP(D246,[1]apoio_Preços_MGS!$A$6:$AN$238,25,FALSE)</f>
        <v>0</v>
      </c>
      <c r="U246" s="40">
        <f t="shared" si="107"/>
        <v>1704.0090955275805</v>
      </c>
      <c r="V246" s="41">
        <f>VLOOKUP(D246,[1]apoio_Preços_MGS!$A$6:$AN$238,27,FALSE)</f>
        <v>0.81799999999999995</v>
      </c>
      <c r="W246" s="40">
        <f t="shared" si="108"/>
        <v>1393.8794401415607</v>
      </c>
      <c r="X246" s="40">
        <f>VLOOKUP(D246,[1]apoio_Preços_MGS!$A$6:$AN$238,29,FALSE)</f>
        <v>51.978333333333332</v>
      </c>
      <c r="Y246" s="40">
        <f>VLOOKUP(D246,[1]apoio_Preços_MGS!$A$6:$AN$238,30,FALSE)</f>
        <v>30.240899280575537</v>
      </c>
      <c r="Z246" s="40">
        <f t="shared" si="78"/>
        <v>82.219232613908872</v>
      </c>
      <c r="AA246" s="40">
        <f>VLOOKUP(D246,[1]apoio_Preços_MGS!$A$6:$AN$238,32,FALSE)</f>
        <v>3.2716974634129543</v>
      </c>
      <c r="AB246" s="40">
        <f>VLOOKUP(D246,[1]apoio_Preços_MGS!$A$6:$AN$238,33,FALSE)</f>
        <v>161.99115461085665</v>
      </c>
      <c r="AC246" s="41">
        <f>VLOOKUP(D246,[1]apoio_Preços_MGS!$A$6:$AN$238,34,FALSE)</f>
        <v>3.4228710630741767E-2</v>
      </c>
      <c r="AD246" s="40">
        <f>(U246+W246+Z246+AB246+AA246+VLOOKUP(C246,[1]apoio_Prec_Folha!$A:$S,7,FALSE))*AC246</f>
        <v>133.40356688312994</v>
      </c>
      <c r="AE246" s="42">
        <f>VLOOKUP(D246,[1]apoio_Preços_MGS!$A$6:$AN$238,36,FALSE)</f>
        <v>7.0000000000000007E-2</v>
      </c>
      <c r="AF246" s="40">
        <f>(U246+W246+Z246+AB246+AD246+AA246+VLOOKUP(C246,[1]apoio_Prec_Folha!$A:$S,7,FALSE))*AE246</f>
        <v>282.15745641618412</v>
      </c>
      <c r="AG246" s="40">
        <f t="shared" si="79"/>
        <v>3760.93</v>
      </c>
      <c r="AH246" s="43">
        <f t="shared" si="80"/>
        <v>4385.92</v>
      </c>
      <c r="AI246" s="43">
        <f t="shared" si="81"/>
        <v>105262.08</v>
      </c>
      <c r="AJ246" s="43">
        <f t="shared" si="82"/>
        <v>6315724.7999999998</v>
      </c>
      <c r="AK246" s="44">
        <f>VLOOKUP(D246,[1]apoio_Preços_MGS!$A$6:$AN$238,39,FALSE)</f>
        <v>181.81818181818184</v>
      </c>
      <c r="AL246" s="44">
        <f>IF(J246="demais municípios",VLOOKUP(D246,[1]apoio_Preços_MGS!$A$6:$AN$238,39,FALSE),0)</f>
        <v>0</v>
      </c>
      <c r="AM246" s="44">
        <f>TRUNC(ROUND(($I246)/(1-($I246)),5)*VLOOKUP(D246,[1]apoio_Preços_MGS!$A$6:$AN$238,39,FALSE)+VLOOKUP(D246,[1]apoio_Preços_MGS!$A$6:$AN$238,39,FALSE),2)</f>
        <v>191.38</v>
      </c>
      <c r="AN246" s="45">
        <f t="shared" si="93"/>
        <v>4593.12</v>
      </c>
      <c r="AO246" s="44">
        <f>VLOOKUP(D246,[1]apoio_Preços_MGS!$A$6:$AN$238,40,FALSE)</f>
        <v>552.04</v>
      </c>
      <c r="AP246" s="44">
        <f>IF(J246="demais municípios",VLOOKUP(D246,[1]apoio_Preços_MGS!$A$6:$AN$238,40,FALSE),0)</f>
        <v>0</v>
      </c>
      <c r="AQ246" s="44">
        <f>TRUNC(ROUND(($I246)/(1-($I246)),5)*VLOOKUP(D246,[1]apoio_Preços_MGS!$A$6:$AN$238,40,FALSE)+VLOOKUP(D246,[1]apoio_Preços_MGS!$A$6:$AN$238,40,FALSE),2)</f>
        <v>581.09</v>
      </c>
      <c r="AR246" s="45">
        <f t="shared" si="94"/>
        <v>13946.16</v>
      </c>
      <c r="AS246" s="45">
        <f t="shared" si="91"/>
        <v>18539.28</v>
      </c>
      <c r="AT246" s="45">
        <f t="shared" si="92"/>
        <v>1112356.7999999998</v>
      </c>
      <c r="AU246" s="62"/>
      <c r="AV246" s="46"/>
      <c r="AW246" s="47"/>
      <c r="AX246" s="48"/>
      <c r="AY246" s="49"/>
      <c r="BA246" s="48"/>
    </row>
    <row r="247" spans="1:53" ht="19.5" customHeight="1" x14ac:dyDescent="0.25">
      <c r="A247" s="33" t="str">
        <f t="shared" si="87"/>
        <v>106194440,02</v>
      </c>
      <c r="B247" s="33" t="str">
        <f t="shared" si="88"/>
        <v>1880,02</v>
      </c>
      <c r="C247" s="34" t="str">
        <f>VLOOKUP(D247,[1]apoio_Preços_MGS!$A$6:$B$238,2,FALSE)</f>
        <v>COPEIRO</v>
      </c>
      <c r="D247" s="35">
        <v>188</v>
      </c>
      <c r="E247" s="33" t="str">
        <f>VLOOKUP(D247,[1]apoio_Preços_MGS!$A$6:$F$238,6,FALSE)</f>
        <v>COPEIRO - DIARISTA DIURNO - 44H</v>
      </c>
      <c r="F247" s="36">
        <f>IFERROR(VLOOKUP(D247,'[1]apoio_cód catmas'!$B$2:$C$863,2,FALSE),0)</f>
        <v>106194</v>
      </c>
      <c r="G247" s="33" t="str">
        <f>IF(H247="N/A",VLOOKUP(F247&amp;40,'[1]apoio_cód catmas'!$A$1:$G$233,4,FALSE),VLOOKUP(F247&amp;H247,'[1]apoio_cód catmas'!$A$1:$G$233,4,FALSE))</f>
        <v>COPEIRO - 30H, 40H OU 44H</v>
      </c>
      <c r="H247" s="36">
        <v>44</v>
      </c>
      <c r="I247" s="37">
        <v>0.02</v>
      </c>
      <c r="J247" s="38" t="s">
        <v>46</v>
      </c>
      <c r="K247" s="39">
        <v>6</v>
      </c>
      <c r="L247" s="39">
        <f t="shared" ref="L247:L344" si="113">K247*60</f>
        <v>360</v>
      </c>
      <c r="M247" s="40">
        <f>VLOOKUP(D247,[1]apoio_Preços_MGS!$A$6:$AN$238,18,FALSE)</f>
        <v>1874.4100050803386</v>
      </c>
      <c r="N247" s="40">
        <f>VLOOKUP(D247,[1]apoio_Preços_MGS!$A$6:$AN$238,19,FALSE)</f>
        <v>0</v>
      </c>
      <c r="O247" s="40">
        <f>VLOOKUP(D247,[1]apoio_Preços_MGS!$A$6:$AN$238,20,FALSE)</f>
        <v>0</v>
      </c>
      <c r="P247" s="40">
        <f>VLOOKUP(D247,[1]apoio_Preços_MGS!$A$6:$AN$238,21,FALSE)</f>
        <v>0</v>
      </c>
      <c r="Q247" s="40">
        <f>VLOOKUP(D247,[1]apoio_Preços_MGS!$A$6:$AN$238,22,FALSE)</f>
        <v>0</v>
      </c>
      <c r="R247" s="40">
        <f>VLOOKUP(D247,[1]apoio_Preços_MGS!$A$6:$AN$238,23,FALSE)</f>
        <v>0</v>
      </c>
      <c r="S247" s="40">
        <f>VLOOKUP(D247,[1]apoio_Preços_MGS!$A$6:$AN$238,24,FALSE)</f>
        <v>0</v>
      </c>
      <c r="T247" s="40">
        <f>VLOOKUP(D247,[1]apoio_Preços_MGS!$A$6:$AN$238,25,FALSE)</f>
        <v>0</v>
      </c>
      <c r="U247" s="40">
        <f t="shared" si="107"/>
        <v>1874.4100050803386</v>
      </c>
      <c r="V247" s="41">
        <f>VLOOKUP(D247,[1]apoio_Preços_MGS!$A$6:$AN$238,27,FALSE)</f>
        <v>0.81799999999999995</v>
      </c>
      <c r="W247" s="40">
        <f t="shared" si="108"/>
        <v>1533.2673841557169</v>
      </c>
      <c r="X247" s="40">
        <f>VLOOKUP(D247,[1]apoio_Preços_MGS!$A$6:$AN$238,29,FALSE)</f>
        <v>51.978333333333332</v>
      </c>
      <c r="Y247" s="40">
        <f>VLOOKUP(D247,[1]apoio_Preços_MGS!$A$6:$AN$238,30,FALSE)</f>
        <v>30.240899280575537</v>
      </c>
      <c r="Z247" s="40">
        <f t="shared" si="78"/>
        <v>82.219232613908872</v>
      </c>
      <c r="AA247" s="40">
        <f>VLOOKUP(D247,[1]apoio_Preços_MGS!$A$6:$AN$238,32,FALSE)</f>
        <v>3.5988672097542498</v>
      </c>
      <c r="AB247" s="40">
        <f>VLOOKUP(D247,[1]apoio_Preços_MGS!$A$6:$AN$238,33,FALSE)</f>
        <v>154.19605323740996</v>
      </c>
      <c r="AC247" s="41">
        <f>VLOOKUP(D247,[1]apoio_Preços_MGS!$A$6:$AN$238,34,FALSE)</f>
        <v>3.4228710630741767E-2</v>
      </c>
      <c r="AD247" s="40">
        <f>(U247+W247+Z247+AB247+AA247+VLOOKUP(C247,[1]apoio_Prec_Folha!$A:$S,7,FALSE))*AC247</f>
        <v>143.75162223782669</v>
      </c>
      <c r="AE247" s="42">
        <f>VLOOKUP(D247,[1]apoio_Preços_MGS!$A$6:$AN$238,36,FALSE)</f>
        <v>7.0000000000000007E-2</v>
      </c>
      <c r="AF247" s="40">
        <f>(U247+W247+Z247+AB247+AD247+AA247+VLOOKUP(C247,[1]apoio_Prec_Folha!$A:$S,7,FALSE))*AE247</f>
        <v>304.04428482679947</v>
      </c>
      <c r="AG247" s="40">
        <f t="shared" si="79"/>
        <v>4095.48</v>
      </c>
      <c r="AH247" s="43">
        <f t="shared" si="80"/>
        <v>4614.62</v>
      </c>
      <c r="AI247" s="43">
        <f t="shared" si="81"/>
        <v>27687.72</v>
      </c>
      <c r="AJ247" s="43">
        <f t="shared" si="82"/>
        <v>1661263.2</v>
      </c>
      <c r="AK247" s="44">
        <f>VLOOKUP(D247,[1]apoio_Preços_MGS!$A$6:$AN$238,39,FALSE)</f>
        <v>200.00000000000003</v>
      </c>
      <c r="AL247" s="44">
        <f>IF(J247="demais municípios",VLOOKUP(D247,[1]apoio_Preços_MGS!$A$6:$AN$238,39,FALSE),0)</f>
        <v>200.00000000000003</v>
      </c>
      <c r="AM247" s="44">
        <v>0</v>
      </c>
      <c r="AN247" s="45">
        <f t="shared" ref="AN247:AN249" si="114">AK247*K247</f>
        <v>1200.0000000000002</v>
      </c>
      <c r="AO247" s="44">
        <f>VLOOKUP(D247,[1]apoio_Preços_MGS!$A$6:$AN$238,40,FALSE)</f>
        <v>552.04</v>
      </c>
      <c r="AP247" s="44">
        <f>IF(J247="demais municípios",VLOOKUP(D247,[1]apoio_Preços_MGS!$A$6:$AN$238,40,FALSE),0)</f>
        <v>552.04</v>
      </c>
      <c r="AQ247" s="44">
        <v>0</v>
      </c>
      <c r="AR247" s="45">
        <f t="shared" ref="AR247:AR249" si="115">AO247*K247</f>
        <v>3312.24</v>
      </c>
      <c r="AS247" s="45">
        <f t="shared" si="91"/>
        <v>4512.24</v>
      </c>
      <c r="AT247" s="45">
        <f t="shared" si="92"/>
        <v>270734.39999999997</v>
      </c>
      <c r="AU247" s="62"/>
      <c r="AV247" s="46"/>
      <c r="AW247" s="47"/>
      <c r="AX247" s="48"/>
      <c r="AY247" s="49"/>
      <c r="BA247" s="48"/>
    </row>
    <row r="248" spans="1:53" ht="19.5" customHeight="1" x14ac:dyDescent="0.25">
      <c r="A248" s="33" t="str">
        <f t="shared" si="87"/>
        <v>106194440,03</v>
      </c>
      <c r="B248" s="33" t="str">
        <f t="shared" si="88"/>
        <v>1880,03</v>
      </c>
      <c r="C248" s="34" t="str">
        <f>VLOOKUP(D248,[1]apoio_Preços_MGS!$A$6:$B$238,2,FALSE)</f>
        <v>COPEIRO</v>
      </c>
      <c r="D248" s="35">
        <v>188</v>
      </c>
      <c r="E248" s="33" t="str">
        <f>VLOOKUP(D248,[1]apoio_Preços_MGS!$A$6:$F$238,6,FALSE)</f>
        <v>COPEIRO - DIARISTA DIURNO - 44H</v>
      </c>
      <c r="F248" s="36">
        <f>IFERROR(VLOOKUP(D248,'[1]apoio_cód catmas'!$B$2:$C$863,2,FALSE),0)</f>
        <v>106194</v>
      </c>
      <c r="G248" s="33" t="str">
        <f>IF(H248="N/A",VLOOKUP(F248&amp;40,'[1]apoio_cód catmas'!$A$1:$G$233,4,FALSE),VLOOKUP(F248&amp;H248,'[1]apoio_cód catmas'!$A$1:$G$233,4,FALSE))</f>
        <v>COPEIRO - 30H, 40H OU 44H</v>
      </c>
      <c r="H248" s="36">
        <v>44</v>
      </c>
      <c r="I248" s="37">
        <v>0.03</v>
      </c>
      <c r="J248" s="38" t="s">
        <v>46</v>
      </c>
      <c r="K248" s="39">
        <v>17</v>
      </c>
      <c r="L248" s="39">
        <f t="shared" si="113"/>
        <v>1020</v>
      </c>
      <c r="M248" s="40">
        <f>VLOOKUP(D248,[1]apoio_Preços_MGS!$A$6:$AN$238,18,FALSE)</f>
        <v>1874.4100050803386</v>
      </c>
      <c r="N248" s="40">
        <f>VLOOKUP(D248,[1]apoio_Preços_MGS!$A$6:$AN$238,19,FALSE)</f>
        <v>0</v>
      </c>
      <c r="O248" s="40">
        <f>VLOOKUP(D248,[1]apoio_Preços_MGS!$A$6:$AN$238,20,FALSE)</f>
        <v>0</v>
      </c>
      <c r="P248" s="40">
        <f>VLOOKUP(D248,[1]apoio_Preços_MGS!$A$6:$AN$238,21,FALSE)</f>
        <v>0</v>
      </c>
      <c r="Q248" s="40">
        <f>VLOOKUP(D248,[1]apoio_Preços_MGS!$A$6:$AN$238,22,FALSE)</f>
        <v>0</v>
      </c>
      <c r="R248" s="40">
        <f>VLOOKUP(D248,[1]apoio_Preços_MGS!$A$6:$AN$238,23,FALSE)</f>
        <v>0</v>
      </c>
      <c r="S248" s="40">
        <f>VLOOKUP(D248,[1]apoio_Preços_MGS!$A$6:$AN$238,24,FALSE)</f>
        <v>0</v>
      </c>
      <c r="T248" s="40">
        <f>VLOOKUP(D248,[1]apoio_Preços_MGS!$A$6:$AN$238,25,FALSE)</f>
        <v>0</v>
      </c>
      <c r="U248" s="40">
        <f t="shared" si="107"/>
        <v>1874.4100050803386</v>
      </c>
      <c r="V248" s="41">
        <f>VLOOKUP(D248,[1]apoio_Preços_MGS!$A$6:$AN$238,27,FALSE)</f>
        <v>0.81799999999999995</v>
      </c>
      <c r="W248" s="40">
        <f t="shared" si="108"/>
        <v>1533.2673841557169</v>
      </c>
      <c r="X248" s="40">
        <f>VLOOKUP(D248,[1]apoio_Preços_MGS!$A$6:$AN$238,29,FALSE)</f>
        <v>51.978333333333332</v>
      </c>
      <c r="Y248" s="40">
        <f>VLOOKUP(D248,[1]apoio_Preços_MGS!$A$6:$AN$238,30,FALSE)</f>
        <v>30.240899280575537</v>
      </c>
      <c r="Z248" s="40">
        <f t="shared" ref="Z248:Z345" si="116">Y248+X248</f>
        <v>82.219232613908872</v>
      </c>
      <c r="AA248" s="40">
        <f>VLOOKUP(D248,[1]apoio_Preços_MGS!$A$6:$AN$238,32,FALSE)</f>
        <v>3.5988672097542498</v>
      </c>
      <c r="AB248" s="40">
        <f>VLOOKUP(D248,[1]apoio_Preços_MGS!$A$6:$AN$238,33,FALSE)</f>
        <v>154.19605323740996</v>
      </c>
      <c r="AC248" s="41">
        <f>VLOOKUP(D248,[1]apoio_Preços_MGS!$A$6:$AN$238,34,FALSE)</f>
        <v>3.4228710630741767E-2</v>
      </c>
      <c r="AD248" s="40">
        <f>(U248+W248+Z248+AB248+AA248+VLOOKUP(C248,[1]apoio_Prec_Folha!$A:$S,7,FALSE))*AC248</f>
        <v>143.75162223782669</v>
      </c>
      <c r="AE248" s="42">
        <f>VLOOKUP(D248,[1]apoio_Preços_MGS!$A$6:$AN$238,36,FALSE)</f>
        <v>7.0000000000000007E-2</v>
      </c>
      <c r="AF248" s="40">
        <f>(U248+W248+Z248+AB248+AD248+AA248+VLOOKUP(C248,[1]apoio_Prec_Folha!$A:$S,7,FALSE))*AE248</f>
        <v>304.04428482679947</v>
      </c>
      <c r="AG248" s="40">
        <f t="shared" ref="AG248:AG345" si="117">TRUNC(U248+W248+Z248+AB248+AA248+AD248+AF248,2)</f>
        <v>4095.48</v>
      </c>
      <c r="AH248" s="43">
        <f t="shared" ref="AH248:AH345" si="118">TRUNC($AG248*ROUND((7.6%+1.65%+$I248)/(1-(7.6%+1.65%+$I248)),5)+$AG248,2)</f>
        <v>4667.2</v>
      </c>
      <c r="AI248" s="43">
        <f t="shared" ref="AI248:AI345" si="119">AH248*K248</f>
        <v>79342.399999999994</v>
      </c>
      <c r="AJ248" s="43">
        <f t="shared" ref="AJ248:AJ345" si="120">AH248*L248</f>
        <v>4760544</v>
      </c>
      <c r="AK248" s="44">
        <f>VLOOKUP(D248,[1]apoio_Preços_MGS!$A$6:$AN$238,39,FALSE)</f>
        <v>200.00000000000003</v>
      </c>
      <c r="AL248" s="44">
        <f>IF(J248="demais municípios",VLOOKUP(D248,[1]apoio_Preços_MGS!$A$6:$AN$238,39,FALSE),0)</f>
        <v>200.00000000000003</v>
      </c>
      <c r="AM248" s="44">
        <v>0</v>
      </c>
      <c r="AN248" s="45">
        <f t="shared" si="114"/>
        <v>3400.0000000000005</v>
      </c>
      <c r="AO248" s="44">
        <f>VLOOKUP(D248,[1]apoio_Preços_MGS!$A$6:$AN$238,40,FALSE)</f>
        <v>552.04</v>
      </c>
      <c r="AP248" s="44">
        <f>IF(J248="demais municípios",VLOOKUP(D248,[1]apoio_Preços_MGS!$A$6:$AN$238,40,FALSE),0)</f>
        <v>552.04</v>
      </c>
      <c r="AQ248" s="44">
        <v>0</v>
      </c>
      <c r="AR248" s="45">
        <f t="shared" si="115"/>
        <v>9384.68</v>
      </c>
      <c r="AS248" s="45">
        <f t="shared" si="91"/>
        <v>12784.68</v>
      </c>
      <c r="AT248" s="45">
        <f t="shared" si="92"/>
        <v>767080.8</v>
      </c>
      <c r="AU248" s="62"/>
      <c r="AV248" s="46"/>
      <c r="AW248" s="47"/>
      <c r="AX248" s="48"/>
      <c r="AY248" s="49"/>
      <c r="BA248" s="48"/>
    </row>
    <row r="249" spans="1:53" ht="19.5" customHeight="1" x14ac:dyDescent="0.25">
      <c r="A249" s="33" t="str">
        <f t="shared" si="87"/>
        <v>106194440,05</v>
      </c>
      <c r="B249" s="33" t="str">
        <f t="shared" si="88"/>
        <v>1880,05</v>
      </c>
      <c r="C249" s="34" t="str">
        <f>VLOOKUP(D249,[1]apoio_Preços_MGS!$A$6:$B$238,2,FALSE)</f>
        <v>COPEIRO</v>
      </c>
      <c r="D249" s="35">
        <v>188</v>
      </c>
      <c r="E249" s="33" t="str">
        <f>VLOOKUP(D249,[1]apoio_Preços_MGS!$A$6:$F$238,6,FALSE)</f>
        <v>COPEIRO - DIARISTA DIURNO - 44H</v>
      </c>
      <c r="F249" s="36">
        <f>IFERROR(VLOOKUP(D249,'[1]apoio_cód catmas'!$B$2:$C$863,2,FALSE),0)</f>
        <v>106194</v>
      </c>
      <c r="G249" s="33" t="str">
        <f>IF(H249="N/A",VLOOKUP(F249&amp;40,'[1]apoio_cód catmas'!$A$1:$G$233,4,FALSE),VLOOKUP(F249&amp;H249,'[1]apoio_cód catmas'!$A$1:$G$233,4,FALSE))</f>
        <v>COPEIRO - 30H, 40H OU 44H</v>
      </c>
      <c r="H249" s="36">
        <v>44</v>
      </c>
      <c r="I249" s="37">
        <v>0.05</v>
      </c>
      <c r="J249" s="38" t="s">
        <v>46</v>
      </c>
      <c r="K249" s="39">
        <f>38-K250</f>
        <v>9</v>
      </c>
      <c r="L249" s="39">
        <f t="shared" si="113"/>
        <v>540</v>
      </c>
      <c r="M249" s="40">
        <f>VLOOKUP(D249,[1]apoio_Preços_MGS!$A$6:$AN$238,18,FALSE)</f>
        <v>1874.4100050803386</v>
      </c>
      <c r="N249" s="40">
        <f>VLOOKUP(D249,[1]apoio_Preços_MGS!$A$6:$AN$238,19,FALSE)</f>
        <v>0</v>
      </c>
      <c r="O249" s="40">
        <f>VLOOKUP(D249,[1]apoio_Preços_MGS!$A$6:$AN$238,20,FALSE)</f>
        <v>0</v>
      </c>
      <c r="P249" s="40">
        <f>VLOOKUP(D249,[1]apoio_Preços_MGS!$A$6:$AN$238,21,FALSE)</f>
        <v>0</v>
      </c>
      <c r="Q249" s="40">
        <f>VLOOKUP(D249,[1]apoio_Preços_MGS!$A$6:$AN$238,22,FALSE)</f>
        <v>0</v>
      </c>
      <c r="R249" s="40">
        <f>VLOOKUP(D249,[1]apoio_Preços_MGS!$A$6:$AN$238,23,FALSE)</f>
        <v>0</v>
      </c>
      <c r="S249" s="40">
        <f>VLOOKUP(D249,[1]apoio_Preços_MGS!$A$6:$AN$238,24,FALSE)</f>
        <v>0</v>
      </c>
      <c r="T249" s="40">
        <f>VLOOKUP(D249,[1]apoio_Preços_MGS!$A$6:$AN$238,25,FALSE)</f>
        <v>0</v>
      </c>
      <c r="U249" s="40">
        <f t="shared" si="107"/>
        <v>1874.4100050803386</v>
      </c>
      <c r="V249" s="41">
        <f>VLOOKUP(D249,[1]apoio_Preços_MGS!$A$6:$AN$238,27,FALSE)</f>
        <v>0.81799999999999995</v>
      </c>
      <c r="W249" s="40">
        <f t="shared" si="108"/>
        <v>1533.2673841557169</v>
      </c>
      <c r="X249" s="40">
        <f>VLOOKUP(D249,[1]apoio_Preços_MGS!$A$6:$AN$238,29,FALSE)</f>
        <v>51.978333333333332</v>
      </c>
      <c r="Y249" s="40">
        <f>VLOOKUP(D249,[1]apoio_Preços_MGS!$A$6:$AN$238,30,FALSE)</f>
        <v>30.240899280575537</v>
      </c>
      <c r="Z249" s="40">
        <f t="shared" si="116"/>
        <v>82.219232613908872</v>
      </c>
      <c r="AA249" s="40">
        <f>VLOOKUP(D249,[1]apoio_Preços_MGS!$A$6:$AN$238,32,FALSE)</f>
        <v>3.5988672097542498</v>
      </c>
      <c r="AB249" s="40">
        <f>VLOOKUP(D249,[1]apoio_Preços_MGS!$A$6:$AN$238,33,FALSE)</f>
        <v>154.19605323740996</v>
      </c>
      <c r="AC249" s="41">
        <f>VLOOKUP(D249,[1]apoio_Preços_MGS!$A$6:$AN$238,34,FALSE)</f>
        <v>3.4228710630741767E-2</v>
      </c>
      <c r="AD249" s="40">
        <f>(U249+W249+Z249+AB249+AA249+VLOOKUP(C249,[1]apoio_Prec_Folha!$A:$S,7,FALSE))*AC249</f>
        <v>143.75162223782669</v>
      </c>
      <c r="AE249" s="42">
        <f>VLOOKUP(D249,[1]apoio_Preços_MGS!$A$6:$AN$238,36,FALSE)</f>
        <v>7.0000000000000007E-2</v>
      </c>
      <c r="AF249" s="40">
        <f>(U249+W249+Z249+AB249+AD249+AA249+VLOOKUP(C249,[1]apoio_Prec_Folha!$A:$S,7,FALSE))*AE249</f>
        <v>304.04428482679947</v>
      </c>
      <c r="AG249" s="40">
        <f t="shared" si="117"/>
        <v>4095.48</v>
      </c>
      <c r="AH249" s="43">
        <f t="shared" si="118"/>
        <v>4776.0600000000004</v>
      </c>
      <c r="AI249" s="43">
        <f t="shared" si="119"/>
        <v>42984.54</v>
      </c>
      <c r="AJ249" s="43">
        <f t="shared" si="120"/>
        <v>2579072.4000000004</v>
      </c>
      <c r="AK249" s="44">
        <f>VLOOKUP(D249,[1]apoio_Preços_MGS!$A$6:$AN$238,39,FALSE)</f>
        <v>200.00000000000003</v>
      </c>
      <c r="AL249" s="44">
        <f>IF(J249="demais municípios",VLOOKUP(D249,[1]apoio_Preços_MGS!$A$6:$AN$238,39,FALSE),0)</f>
        <v>200.00000000000003</v>
      </c>
      <c r="AM249" s="44">
        <v>0</v>
      </c>
      <c r="AN249" s="45">
        <f t="shared" si="114"/>
        <v>1800.0000000000002</v>
      </c>
      <c r="AO249" s="44">
        <f>VLOOKUP(D249,[1]apoio_Preços_MGS!$A$6:$AN$238,40,FALSE)</f>
        <v>552.04</v>
      </c>
      <c r="AP249" s="44">
        <f>IF(J249="demais municípios",VLOOKUP(D249,[1]apoio_Preços_MGS!$A$6:$AN$238,40,FALSE),0)</f>
        <v>552.04</v>
      </c>
      <c r="AQ249" s="44">
        <v>0</v>
      </c>
      <c r="AR249" s="45">
        <f t="shared" si="115"/>
        <v>4968.3599999999997</v>
      </c>
      <c r="AS249" s="45">
        <f t="shared" si="91"/>
        <v>6768.36</v>
      </c>
      <c r="AT249" s="45">
        <f t="shared" si="92"/>
        <v>406101.6</v>
      </c>
      <c r="AU249" s="62"/>
      <c r="AV249" s="46"/>
      <c r="AW249" s="47"/>
      <c r="AX249" s="48"/>
      <c r="AY249" s="49"/>
      <c r="BA249" s="48"/>
    </row>
    <row r="250" spans="1:53" ht="19.5" customHeight="1" x14ac:dyDescent="0.25">
      <c r="A250" s="33" t="str">
        <f t="shared" si="87"/>
        <v>106194440,05</v>
      </c>
      <c r="B250" s="33" t="str">
        <f t="shared" si="88"/>
        <v>1880,05</v>
      </c>
      <c r="C250" s="34" t="str">
        <f>VLOOKUP(D250,[1]apoio_Preços_MGS!$A$6:$B$238,2,FALSE)</f>
        <v>COPEIRO</v>
      </c>
      <c r="D250" s="35">
        <v>188</v>
      </c>
      <c r="E250" s="33" t="str">
        <f>VLOOKUP(D250,[1]apoio_Preços_MGS!$A$6:$F$238,6,FALSE)</f>
        <v>COPEIRO - DIARISTA DIURNO - 44H</v>
      </c>
      <c r="F250" s="36">
        <f>IFERROR(VLOOKUP(D250,'[1]apoio_cód catmas'!$B$2:$C$863,2,FALSE),0)</f>
        <v>106194</v>
      </c>
      <c r="G250" s="33" t="str">
        <f>IF(H250="N/A",VLOOKUP(F250&amp;40,'[1]apoio_cód catmas'!$A$1:$G$233,4,FALSE),VLOOKUP(F250&amp;H250,'[1]apoio_cód catmas'!$A$1:$G$233,4,FALSE))</f>
        <v>COPEIRO - 30H, 40H OU 44H</v>
      </c>
      <c r="H250" s="36">
        <v>44</v>
      </c>
      <c r="I250" s="37">
        <v>0.05</v>
      </c>
      <c r="J250" s="38" t="s">
        <v>47</v>
      </c>
      <c r="K250" s="39">
        <v>29</v>
      </c>
      <c r="L250" s="39">
        <f t="shared" si="113"/>
        <v>1740</v>
      </c>
      <c r="M250" s="40">
        <f>VLOOKUP(D250,[1]apoio_Preços_MGS!$A$6:$AN$238,18,FALSE)</f>
        <v>1874.4100050803386</v>
      </c>
      <c r="N250" s="40">
        <f>VLOOKUP(D250,[1]apoio_Preços_MGS!$A$6:$AN$238,19,FALSE)</f>
        <v>0</v>
      </c>
      <c r="O250" s="40">
        <f>VLOOKUP(D250,[1]apoio_Preços_MGS!$A$6:$AN$238,20,FALSE)</f>
        <v>0</v>
      </c>
      <c r="P250" s="40">
        <f>VLOOKUP(D250,[1]apoio_Preços_MGS!$A$6:$AN$238,21,FALSE)</f>
        <v>0</v>
      </c>
      <c r="Q250" s="40">
        <f>VLOOKUP(D250,[1]apoio_Preços_MGS!$A$6:$AN$238,22,FALSE)</f>
        <v>0</v>
      </c>
      <c r="R250" s="40">
        <f>VLOOKUP(D250,[1]apoio_Preços_MGS!$A$6:$AN$238,23,FALSE)</f>
        <v>0</v>
      </c>
      <c r="S250" s="40">
        <f>VLOOKUP(D250,[1]apoio_Preços_MGS!$A$6:$AN$238,24,FALSE)</f>
        <v>0</v>
      </c>
      <c r="T250" s="40">
        <f>VLOOKUP(D250,[1]apoio_Preços_MGS!$A$6:$AN$238,25,FALSE)</f>
        <v>0</v>
      </c>
      <c r="U250" s="40">
        <f t="shared" si="107"/>
        <v>1874.4100050803386</v>
      </c>
      <c r="V250" s="41">
        <f>VLOOKUP(D250,[1]apoio_Preços_MGS!$A$6:$AN$238,27,FALSE)</f>
        <v>0.81799999999999995</v>
      </c>
      <c r="W250" s="40">
        <f t="shared" si="108"/>
        <v>1533.2673841557169</v>
      </c>
      <c r="X250" s="40">
        <f>VLOOKUP(D250,[1]apoio_Preços_MGS!$A$6:$AN$238,29,FALSE)</f>
        <v>51.978333333333332</v>
      </c>
      <c r="Y250" s="40">
        <f>VLOOKUP(D250,[1]apoio_Preços_MGS!$A$6:$AN$238,30,FALSE)</f>
        <v>30.240899280575537</v>
      </c>
      <c r="Z250" s="40">
        <f t="shared" si="116"/>
        <v>82.219232613908872</v>
      </c>
      <c r="AA250" s="40">
        <f>VLOOKUP(D250,[1]apoio_Preços_MGS!$A$6:$AN$238,32,FALSE)</f>
        <v>3.5988672097542498</v>
      </c>
      <c r="AB250" s="40">
        <f>VLOOKUP(D250,[1]apoio_Preços_MGS!$A$6:$AN$238,33,FALSE)</f>
        <v>154.19605323740996</v>
      </c>
      <c r="AC250" s="41">
        <f>VLOOKUP(D250,[1]apoio_Preços_MGS!$A$6:$AN$238,34,FALSE)</f>
        <v>3.4228710630741767E-2</v>
      </c>
      <c r="AD250" s="40">
        <f>(U250+W250+Z250+AB250+AA250+VLOOKUP(C250,[1]apoio_Prec_Folha!$A:$S,7,FALSE))*AC250</f>
        <v>143.75162223782669</v>
      </c>
      <c r="AE250" s="42">
        <f>VLOOKUP(D250,[1]apoio_Preços_MGS!$A$6:$AN$238,36,FALSE)</f>
        <v>7.0000000000000007E-2</v>
      </c>
      <c r="AF250" s="40">
        <f>(U250+W250+Z250+AB250+AD250+AA250+VLOOKUP(C250,[1]apoio_Prec_Folha!$A:$S,7,FALSE))*AE250</f>
        <v>304.04428482679947</v>
      </c>
      <c r="AG250" s="40">
        <f t="shared" si="117"/>
        <v>4095.48</v>
      </c>
      <c r="AH250" s="43">
        <f t="shared" si="118"/>
        <v>4776.0600000000004</v>
      </c>
      <c r="AI250" s="43">
        <f t="shared" si="119"/>
        <v>138505.74000000002</v>
      </c>
      <c r="AJ250" s="43">
        <f t="shared" si="120"/>
        <v>8310344.4000000004</v>
      </c>
      <c r="AK250" s="44">
        <f>VLOOKUP(D250,[1]apoio_Preços_MGS!$A$6:$AN$238,39,FALSE)</f>
        <v>200.00000000000003</v>
      </c>
      <c r="AL250" s="44">
        <f>IF(J250="demais municípios",VLOOKUP(D250,[1]apoio_Preços_MGS!$A$6:$AN$238,39,FALSE),0)</f>
        <v>0</v>
      </c>
      <c r="AM250" s="44">
        <f>TRUNC(ROUND(($I250)/(1-($I250)),5)*VLOOKUP(D250,[1]apoio_Preços_MGS!$A$6:$AN$238,39,FALSE)+VLOOKUP(D250,[1]apoio_Preços_MGS!$A$6:$AN$238,39,FALSE),2)</f>
        <v>210.52</v>
      </c>
      <c r="AN250" s="45">
        <f t="shared" si="93"/>
        <v>6105.08</v>
      </c>
      <c r="AO250" s="44">
        <f>VLOOKUP(D250,[1]apoio_Preços_MGS!$A$6:$AN$238,40,FALSE)</f>
        <v>552.04</v>
      </c>
      <c r="AP250" s="44">
        <f>IF(J250="demais municípios",VLOOKUP(D250,[1]apoio_Preços_MGS!$A$6:$AN$238,40,FALSE),0)</f>
        <v>0</v>
      </c>
      <c r="AQ250" s="44">
        <f>TRUNC(ROUND(($I250)/(1-($I250)),5)*VLOOKUP(D250,[1]apoio_Preços_MGS!$A$6:$AN$238,40,FALSE)+VLOOKUP(D250,[1]apoio_Preços_MGS!$A$6:$AN$238,40,FALSE),2)</f>
        <v>581.09</v>
      </c>
      <c r="AR250" s="45">
        <f t="shared" si="94"/>
        <v>16851.61</v>
      </c>
      <c r="AS250" s="45">
        <f t="shared" si="91"/>
        <v>22956.690000000002</v>
      </c>
      <c r="AT250" s="45">
        <f t="shared" si="92"/>
        <v>1377401.4000000001</v>
      </c>
      <c r="AU250" s="62"/>
      <c r="AV250" s="46"/>
      <c r="AW250" s="47"/>
      <c r="AX250" s="48"/>
      <c r="AY250" s="49"/>
      <c r="BA250" s="48"/>
    </row>
    <row r="251" spans="1:53" ht="19.5" customHeight="1" x14ac:dyDescent="0.25">
      <c r="A251" s="33" t="str">
        <f t="shared" si="87"/>
        <v>66303440,03</v>
      </c>
      <c r="B251" s="33" t="str">
        <f t="shared" si="88"/>
        <v>3760,03</v>
      </c>
      <c r="C251" s="34" t="str">
        <f>VLOOKUP(D251,[1]apoio_Preços_MGS!$A$6:$B$238,2,FALSE)</f>
        <v>COVEIRO</v>
      </c>
      <c r="D251" s="35">
        <v>376</v>
      </c>
      <c r="E251" s="33" t="str">
        <f>VLOOKUP(D251,[1]apoio_Preços_MGS!$A$6:$F$238,6,FALSE)</f>
        <v>COVEIRO - DIARISTA DIURNO - 44H</v>
      </c>
      <c r="F251" s="36">
        <f>IFERROR(VLOOKUP(D251,'[1]apoio_cód catmas'!$B$2:$C$863,2,FALSE),0)</f>
        <v>66303</v>
      </c>
      <c r="G251" s="33" t="str">
        <f>IF(H251="N/A",VLOOKUP(F251&amp;40,'[1]apoio_cód catmas'!$A$1:$G$233,4,FALSE),VLOOKUP(F251&amp;H251,'[1]apoio_cód catmas'!$A$1:$G$233,4,FALSE))</f>
        <v>COVEIRO - 44H</v>
      </c>
      <c r="H251" s="36">
        <v>44</v>
      </c>
      <c r="I251" s="37">
        <v>0.03</v>
      </c>
      <c r="J251" s="38" t="s">
        <v>46</v>
      </c>
      <c r="K251" s="39">
        <v>6</v>
      </c>
      <c r="L251" s="39">
        <f t="shared" si="113"/>
        <v>360</v>
      </c>
      <c r="M251" s="40">
        <f>VLOOKUP(D251,[1]apoio_Preços_MGS!$A$6:$AN$238,18,FALSE)</f>
        <v>1990.3625</v>
      </c>
      <c r="N251" s="40">
        <f>VLOOKUP(D251,[1]apoio_Preços_MGS!$A$6:$AN$238,19,FALSE)</f>
        <v>0</v>
      </c>
      <c r="O251" s="40">
        <f>VLOOKUP(D251,[1]apoio_Preços_MGS!$A$6:$AN$238,20,FALSE)</f>
        <v>0</v>
      </c>
      <c r="P251" s="40">
        <f>VLOOKUP(D251,[1]apoio_Preços_MGS!$A$6:$AN$238,21,FALSE)</f>
        <v>0</v>
      </c>
      <c r="Q251" s="40">
        <f>VLOOKUP(D251,[1]apoio_Preços_MGS!$A$6:$AN$238,22,FALSE)</f>
        <v>0</v>
      </c>
      <c r="R251" s="40">
        <f>VLOOKUP(D251,[1]apoio_Preços_MGS!$A$6:$AN$238,23,FALSE)</f>
        <v>0</v>
      </c>
      <c r="S251" s="40">
        <f>VLOOKUP(D251,[1]apoio_Preços_MGS!$A$6:$AN$238,24,FALSE)</f>
        <v>0</v>
      </c>
      <c r="T251" s="40">
        <f>VLOOKUP(D251,[1]apoio_Preços_MGS!$A$6:$AN$238,25,FALSE)</f>
        <v>0</v>
      </c>
      <c r="U251" s="40">
        <f t="shared" si="107"/>
        <v>1990.3625</v>
      </c>
      <c r="V251" s="41">
        <f>VLOOKUP(D251,[1]apoio_Preços_MGS!$A$6:$AN$238,27,FALSE)</f>
        <v>0.81799999999999995</v>
      </c>
      <c r="W251" s="40">
        <f t="shared" si="108"/>
        <v>1628.1165249999999</v>
      </c>
      <c r="X251" s="40">
        <f>VLOOKUP(D251,[1]apoio_Preços_MGS!$A$6:$AN$238,29,FALSE)</f>
        <v>31.89</v>
      </c>
      <c r="Y251" s="40">
        <f>VLOOKUP(D251,[1]apoio_Preços_MGS!$A$6:$AN$238,30,FALSE)</f>
        <v>58.867272727272727</v>
      </c>
      <c r="Z251" s="40">
        <f t="shared" si="116"/>
        <v>90.757272727272721</v>
      </c>
      <c r="AA251" s="40">
        <f>VLOOKUP(D251,[1]apoio_Preços_MGS!$A$6:$AN$238,32,FALSE)</f>
        <v>3.8214959999999998</v>
      </c>
      <c r="AB251" s="40">
        <f>VLOOKUP(D251,[1]apoio_Preços_MGS!$A$6:$AN$238,33,FALSE)</f>
        <v>0</v>
      </c>
      <c r="AC251" s="41">
        <f>VLOOKUP(D251,[1]apoio_Preços_MGS!$A$6:$AN$238,34,FALSE)</f>
        <v>0</v>
      </c>
      <c r="AD251" s="40">
        <f>(U251+W251+Z251+AB251+AA251+VLOOKUP(C251,[1]apoio_Prec_Folha!$A:$S,7,FALSE))*AC251</f>
        <v>0</v>
      </c>
      <c r="AE251" s="42">
        <f>VLOOKUP(D251,[1]apoio_Preços_MGS!$A$6:$AN$238,36,FALSE)</f>
        <v>7.0000000000000007E-2</v>
      </c>
      <c r="AF251" s="40">
        <f>(U251+W251+Z251+AB251+AD251+AA251+VLOOKUP(C251,[1]apoio_Prec_Folha!$A:$S,7,FALSE))*AE251</f>
        <v>298.52464556090911</v>
      </c>
      <c r="AG251" s="40">
        <f t="shared" si="117"/>
        <v>4011.58</v>
      </c>
      <c r="AH251" s="43">
        <f t="shared" si="118"/>
        <v>4571.59</v>
      </c>
      <c r="AI251" s="43">
        <f t="shared" si="119"/>
        <v>27429.54</v>
      </c>
      <c r="AJ251" s="43">
        <f t="shared" si="120"/>
        <v>1645772.4000000001</v>
      </c>
      <c r="AK251" s="44">
        <f>VLOOKUP(D251,[1]apoio_Preços_MGS!$A$6:$AN$238,39,FALSE)</f>
        <v>200.00000000000003</v>
      </c>
      <c r="AL251" s="44">
        <f>IF(J251="demais municípios",VLOOKUP(D251,[1]apoio_Preços_MGS!$A$6:$AN$238,39,FALSE),0)</f>
        <v>200.00000000000003</v>
      </c>
      <c r="AM251" s="44">
        <v>0</v>
      </c>
      <c r="AN251" s="45">
        <f t="shared" ref="AN251:AN256" si="121">AK251*K251</f>
        <v>1200.0000000000002</v>
      </c>
      <c r="AO251" s="44">
        <f>VLOOKUP(D251,[1]apoio_Preços_MGS!$A$6:$AN$238,40,FALSE)</f>
        <v>551.58000000000004</v>
      </c>
      <c r="AP251" s="44">
        <f>IF(J251="demais municípios",VLOOKUP(D251,[1]apoio_Preços_MGS!$A$6:$AN$238,40,FALSE),0)</f>
        <v>551.58000000000004</v>
      </c>
      <c r="AQ251" s="44">
        <v>0</v>
      </c>
      <c r="AR251" s="45">
        <f t="shared" ref="AR251:AR256" si="122">AO251*K251</f>
        <v>3309.4800000000005</v>
      </c>
      <c r="AS251" s="45">
        <f t="shared" si="91"/>
        <v>4509.4800000000005</v>
      </c>
      <c r="AT251" s="45">
        <f t="shared" si="92"/>
        <v>270568.80000000005</v>
      </c>
      <c r="AU251" s="62"/>
      <c r="AV251" s="46"/>
      <c r="AW251" s="47"/>
      <c r="AX251" s="48"/>
      <c r="AY251" s="49"/>
      <c r="BA251" s="48"/>
    </row>
    <row r="252" spans="1:53" ht="19.5" customHeight="1" x14ac:dyDescent="0.25">
      <c r="A252" s="33" t="str">
        <f t="shared" si="87"/>
        <v>105716440,03</v>
      </c>
      <c r="B252" s="33" t="str">
        <f t="shared" si="88"/>
        <v>11680,03</v>
      </c>
      <c r="C252" s="34" t="str">
        <f>VLOOKUP(D252,[1]apoio_Preços_MGS!$A$6:$B$238,2,FALSE)</f>
        <v>COVEIRO</v>
      </c>
      <c r="D252" s="35">
        <v>1168</v>
      </c>
      <c r="E252" s="33" t="str">
        <f>VLOOKUP(D252,[1]apoio_Preços_MGS!$A$6:$F$238,6,FALSE)</f>
        <v>COVEIRO - 12x36 DIURNO - 44H</v>
      </c>
      <c r="F252" s="36">
        <f>IFERROR(VLOOKUP(D252,'[1]apoio_cód catmas'!$B$2:$C$863,2,FALSE),0)</f>
        <v>105716</v>
      </c>
      <c r="G252" s="33" t="str">
        <f>IF(H252="N/A",VLOOKUP(F252&amp;40,'[1]apoio_cód catmas'!$A$1:$G$233,4,FALSE),VLOOKUP(F252&amp;H252,'[1]apoio_cód catmas'!$A$1:$G$233,4,FALSE))</f>
        <v>COVEIRO 12x36 - DIURNO - 44 HORAS</v>
      </c>
      <c r="H252" s="36">
        <v>44</v>
      </c>
      <c r="I252" s="37">
        <v>0.03</v>
      </c>
      <c r="J252" s="38" t="s">
        <v>46</v>
      </c>
      <c r="K252" s="39">
        <f>4-2</f>
        <v>2</v>
      </c>
      <c r="L252" s="39">
        <f t="shared" si="113"/>
        <v>120</v>
      </c>
      <c r="M252" s="40">
        <f>VLOOKUP(D252,[1]apoio_Preços_MGS!$A$6:$AN$238,18,FALSE)</f>
        <v>1990.3625</v>
      </c>
      <c r="N252" s="40">
        <f>VLOOKUP(D252,[1]apoio_Preços_MGS!$A$6:$AN$238,19,FALSE)</f>
        <v>0</v>
      </c>
      <c r="O252" s="40">
        <f>VLOOKUP(D252,[1]apoio_Preços_MGS!$A$6:$AN$238,20,FALSE)</f>
        <v>0</v>
      </c>
      <c r="P252" s="40">
        <f>VLOOKUP(D252,[1]apoio_Preços_MGS!$A$6:$AN$238,21,FALSE)</f>
        <v>0</v>
      </c>
      <c r="Q252" s="40">
        <f>VLOOKUP(D252,[1]apoio_Preços_MGS!$A$6:$AN$238,22,FALSE)</f>
        <v>0</v>
      </c>
      <c r="R252" s="40">
        <f>VLOOKUP(D252,[1]apoio_Preços_MGS!$A$6:$AN$238,23,FALSE)</f>
        <v>0</v>
      </c>
      <c r="S252" s="40">
        <f>VLOOKUP(D252,[1]apoio_Preços_MGS!$A$6:$AN$238,24,FALSE)</f>
        <v>0</v>
      </c>
      <c r="T252" s="40">
        <f>VLOOKUP(D252,[1]apoio_Preços_MGS!$A$6:$AN$238,25,FALSE)</f>
        <v>2.7643923611111112</v>
      </c>
      <c r="U252" s="40">
        <f t="shared" si="107"/>
        <v>1993.126892361111</v>
      </c>
      <c r="V252" s="41">
        <f>VLOOKUP(D252,[1]apoio_Preços_MGS!$A$6:$AN$238,27,FALSE)</f>
        <v>0.81799999999999995</v>
      </c>
      <c r="W252" s="40">
        <f t="shared" si="108"/>
        <v>1630.3777979513886</v>
      </c>
      <c r="X252" s="40">
        <f>VLOOKUP(D252,[1]apoio_Preços_MGS!$A$6:$AN$238,29,FALSE)</f>
        <v>31.89</v>
      </c>
      <c r="Y252" s="40">
        <f>VLOOKUP(D252,[1]apoio_Preços_MGS!$A$6:$AN$238,30,FALSE)</f>
        <v>58.867272727272727</v>
      </c>
      <c r="Z252" s="40">
        <f t="shared" si="116"/>
        <v>90.757272727272721</v>
      </c>
      <c r="AA252" s="40">
        <f>VLOOKUP(D252,[1]apoio_Preços_MGS!$A$6:$AN$238,32,FALSE)</f>
        <v>3.8214959999999998</v>
      </c>
      <c r="AB252" s="40">
        <f>VLOOKUP(D252,[1]apoio_Preços_MGS!$A$6:$AN$238,33,FALSE)</f>
        <v>0</v>
      </c>
      <c r="AC252" s="41">
        <f>VLOOKUP(D252,[1]apoio_Preços_MGS!$A$6:$AN$238,34,FALSE)</f>
        <v>0</v>
      </c>
      <c r="AD252" s="40">
        <f>(U252+W252+Z252+AB252+AA252+VLOOKUP(C252,[1]apoio_Prec_Folha!$A:$S,7,FALSE))*AC252</f>
        <v>0</v>
      </c>
      <c r="AE252" s="42">
        <f>VLOOKUP(D252,[1]apoio_Preços_MGS!$A$6:$AN$238,36,FALSE)</f>
        <v>7.0000000000000007E-2</v>
      </c>
      <c r="AF252" s="40">
        <f>(U252+W252+Z252+AB252+AD252+AA252+VLOOKUP(C252,[1]apoio_Prec_Folha!$A:$S,7,FALSE))*AE252</f>
        <v>298.87644213278412</v>
      </c>
      <c r="AG252" s="40">
        <f t="shared" si="117"/>
        <v>4016.95</v>
      </c>
      <c r="AH252" s="43">
        <f t="shared" si="118"/>
        <v>4577.71</v>
      </c>
      <c r="AI252" s="43">
        <f t="shared" si="119"/>
        <v>9155.42</v>
      </c>
      <c r="AJ252" s="43">
        <f t="shared" si="120"/>
        <v>549325.19999999995</v>
      </c>
      <c r="AK252" s="44">
        <f>VLOOKUP(D252,[1]apoio_Preços_MGS!$A$6:$AN$238,39,FALSE)</f>
        <v>200.00000000000003</v>
      </c>
      <c r="AL252" s="44">
        <f>IF(J252="demais municípios",VLOOKUP(D252,[1]apoio_Preços_MGS!$A$6:$AN$238,39,FALSE),0)</f>
        <v>200.00000000000003</v>
      </c>
      <c r="AM252" s="44">
        <v>0</v>
      </c>
      <c r="AN252" s="45">
        <f t="shared" si="121"/>
        <v>400.00000000000006</v>
      </c>
      <c r="AO252" s="44">
        <f>VLOOKUP(D252,[1]apoio_Preços_MGS!$A$6:$AN$238,40,FALSE)</f>
        <v>551.58000000000004</v>
      </c>
      <c r="AP252" s="44">
        <f>IF(J252="demais municípios",VLOOKUP(D252,[1]apoio_Preços_MGS!$A$6:$AN$238,40,FALSE),0)</f>
        <v>551.58000000000004</v>
      </c>
      <c r="AQ252" s="44">
        <v>0</v>
      </c>
      <c r="AR252" s="45">
        <f t="shared" si="122"/>
        <v>1103.1600000000001</v>
      </c>
      <c r="AS252" s="45">
        <f t="shared" si="91"/>
        <v>1503.16</v>
      </c>
      <c r="AT252" s="45">
        <f t="shared" si="92"/>
        <v>90189.6</v>
      </c>
      <c r="AU252" s="62"/>
      <c r="AV252" s="46"/>
      <c r="AW252" s="47"/>
      <c r="AX252" s="48"/>
      <c r="AY252" s="49"/>
      <c r="BA252" s="48"/>
    </row>
    <row r="253" spans="1:53" ht="19.5" customHeight="1" x14ac:dyDescent="0.25">
      <c r="A253" s="33" t="str">
        <f t="shared" si="87"/>
        <v>105716440,05</v>
      </c>
      <c r="B253" s="33" t="str">
        <f t="shared" si="88"/>
        <v>11680,05</v>
      </c>
      <c r="C253" s="34" t="str">
        <f>VLOOKUP(D253,[1]apoio_Preços_MGS!$A$6:$B$238,2,FALSE)</f>
        <v>COVEIRO</v>
      </c>
      <c r="D253" s="35">
        <v>1168</v>
      </c>
      <c r="E253" s="33" t="str">
        <f>VLOOKUP(D253,[1]apoio_Preços_MGS!$A$6:$F$238,6,FALSE)</f>
        <v>COVEIRO - 12x36 DIURNO - 44H</v>
      </c>
      <c r="F253" s="36">
        <f>IFERROR(VLOOKUP(D253,'[1]apoio_cód catmas'!$B$2:$C$863,2,FALSE),0)</f>
        <v>105716</v>
      </c>
      <c r="G253" s="33" t="str">
        <f>IF(H253="N/A",VLOOKUP(F253&amp;40,'[1]apoio_cód catmas'!$A$1:$G$233,4,FALSE),VLOOKUP(F253&amp;H253,'[1]apoio_cód catmas'!$A$1:$G$233,4,FALSE))</f>
        <v>COVEIRO 12x36 - DIURNO - 44 HORAS</v>
      </c>
      <c r="H253" s="36">
        <v>44</v>
      </c>
      <c r="I253" s="37">
        <v>0.05</v>
      </c>
      <c r="J253" s="38" t="s">
        <v>46</v>
      </c>
      <c r="K253" s="39">
        <v>2</v>
      </c>
      <c r="L253" s="39">
        <f>K253*56</f>
        <v>112</v>
      </c>
      <c r="M253" s="40">
        <f>VLOOKUP(D253,[1]apoio_Preços_MGS!$A$6:$AN$238,18,FALSE)</f>
        <v>1990.3625</v>
      </c>
      <c r="N253" s="40">
        <f>VLOOKUP(D253,[1]apoio_Preços_MGS!$A$6:$AN$238,19,FALSE)</f>
        <v>0</v>
      </c>
      <c r="O253" s="40">
        <f>VLOOKUP(D253,[1]apoio_Preços_MGS!$A$6:$AN$238,20,FALSE)</f>
        <v>0</v>
      </c>
      <c r="P253" s="40">
        <f>VLOOKUP(D253,[1]apoio_Preços_MGS!$A$6:$AN$238,21,FALSE)</f>
        <v>0</v>
      </c>
      <c r="Q253" s="40">
        <f>VLOOKUP(D253,[1]apoio_Preços_MGS!$A$6:$AN$238,22,FALSE)</f>
        <v>0</v>
      </c>
      <c r="R253" s="40">
        <f>VLOOKUP(D253,[1]apoio_Preços_MGS!$A$6:$AN$238,23,FALSE)</f>
        <v>0</v>
      </c>
      <c r="S253" s="40">
        <f>VLOOKUP(D253,[1]apoio_Preços_MGS!$A$6:$AN$238,24,FALSE)</f>
        <v>0</v>
      </c>
      <c r="T253" s="40">
        <f>VLOOKUP(D253,[1]apoio_Preços_MGS!$A$6:$AN$238,25,FALSE)</f>
        <v>2.7643923611111112</v>
      </c>
      <c r="U253" s="40">
        <f t="shared" si="107"/>
        <v>1993.126892361111</v>
      </c>
      <c r="V253" s="41">
        <f>VLOOKUP(D253,[1]apoio_Preços_MGS!$A$6:$AN$238,27,FALSE)</f>
        <v>0.81799999999999995</v>
      </c>
      <c r="W253" s="40">
        <f t="shared" si="108"/>
        <v>1630.3777979513886</v>
      </c>
      <c r="X253" s="40">
        <f>VLOOKUP(D253,[1]apoio_Preços_MGS!$A$6:$AN$238,29,FALSE)</f>
        <v>31.89</v>
      </c>
      <c r="Y253" s="40">
        <f>VLOOKUP(D253,[1]apoio_Preços_MGS!$A$6:$AN$238,30,FALSE)</f>
        <v>58.867272727272727</v>
      </c>
      <c r="Z253" s="40">
        <f t="shared" si="116"/>
        <v>90.757272727272721</v>
      </c>
      <c r="AA253" s="40">
        <f>VLOOKUP(D253,[1]apoio_Preços_MGS!$A$6:$AN$238,32,FALSE)</f>
        <v>3.8214959999999998</v>
      </c>
      <c r="AB253" s="40">
        <f>VLOOKUP(D253,[1]apoio_Preços_MGS!$A$6:$AN$238,33,FALSE)</f>
        <v>0</v>
      </c>
      <c r="AC253" s="41">
        <f>VLOOKUP(D253,[1]apoio_Preços_MGS!$A$6:$AN$238,34,FALSE)</f>
        <v>0</v>
      </c>
      <c r="AD253" s="40">
        <f>(U253+W253+Z253+AB253+AA253+VLOOKUP(C253,[1]apoio_Prec_Folha!$A:$S,7,FALSE))*AC253</f>
        <v>0</v>
      </c>
      <c r="AE253" s="42">
        <f>VLOOKUP(D253,[1]apoio_Preços_MGS!$A$6:$AN$238,36,FALSE)</f>
        <v>7.0000000000000007E-2</v>
      </c>
      <c r="AF253" s="40">
        <f>(U253+W253+Z253+AB253+AD253+AA253+VLOOKUP(C253,[1]apoio_Prec_Folha!$A:$S,7,FALSE))*AE253</f>
        <v>298.87644213278412</v>
      </c>
      <c r="AG253" s="40">
        <f t="shared" si="117"/>
        <v>4016.95</v>
      </c>
      <c r="AH253" s="43">
        <f t="shared" si="118"/>
        <v>4684.4799999999996</v>
      </c>
      <c r="AI253" s="43">
        <f t="shared" si="119"/>
        <v>9368.9599999999991</v>
      </c>
      <c r="AJ253" s="43">
        <f t="shared" si="120"/>
        <v>524661.76000000001</v>
      </c>
      <c r="AK253" s="44">
        <f>VLOOKUP(D253,[1]apoio_Preços_MGS!$A$6:$AN$238,39,FALSE)</f>
        <v>200.00000000000003</v>
      </c>
      <c r="AL253" s="44">
        <f>IF(J253="demais municípios",VLOOKUP(D253,[1]apoio_Preços_MGS!$A$6:$AN$238,39,FALSE),0)</f>
        <v>200.00000000000003</v>
      </c>
      <c r="AM253" s="44">
        <v>0</v>
      </c>
      <c r="AN253" s="45">
        <f t="shared" si="121"/>
        <v>400.00000000000006</v>
      </c>
      <c r="AO253" s="44">
        <f>VLOOKUP(D253,[1]apoio_Preços_MGS!$A$6:$AN$238,40,FALSE)</f>
        <v>551.58000000000004</v>
      </c>
      <c r="AP253" s="44">
        <f>IF(J253="demais municípios",VLOOKUP(D253,[1]apoio_Preços_MGS!$A$6:$AN$238,40,FALSE),0)</f>
        <v>551.58000000000004</v>
      </c>
      <c r="AQ253" s="44">
        <v>0</v>
      </c>
      <c r="AR253" s="45">
        <f t="shared" si="122"/>
        <v>1103.1600000000001</v>
      </c>
      <c r="AS253" s="45">
        <f t="shared" si="91"/>
        <v>1503.16</v>
      </c>
      <c r="AT253" s="45">
        <f t="shared" si="92"/>
        <v>90189.6</v>
      </c>
      <c r="AU253" s="62"/>
      <c r="AV253" s="46"/>
      <c r="AW253" s="47"/>
      <c r="AX253" s="48"/>
      <c r="AY253" s="49"/>
      <c r="BA253" s="48"/>
    </row>
    <row r="254" spans="1:53" ht="19.5" customHeight="1" x14ac:dyDescent="0.25">
      <c r="A254" s="33" t="str">
        <f t="shared" si="87"/>
        <v>64025440,03</v>
      </c>
      <c r="B254" s="33" t="str">
        <f t="shared" si="88"/>
        <v>2020,03</v>
      </c>
      <c r="C254" s="34" t="str">
        <f>VLOOKUP(D254,[1]apoio_Preços_MGS!$A$6:$B$238,2,FALSE)</f>
        <v>COZINHEIRO</v>
      </c>
      <c r="D254" s="35">
        <v>202</v>
      </c>
      <c r="E254" s="33" t="str">
        <f>VLOOKUP(D254,[1]apoio_Preços_MGS!$A$6:$F$238,6,FALSE)</f>
        <v>COZINHEIRO - 12x36 DIURNO - 44H</v>
      </c>
      <c r="F254" s="36">
        <f>IFERROR(VLOOKUP(D254,'[1]apoio_cód catmas'!$B$2:$C$863,2,FALSE),0)</f>
        <v>64025</v>
      </c>
      <c r="G254" s="33" t="str">
        <f>IF(H254="N/A",VLOOKUP(F254&amp;40,'[1]apoio_cód catmas'!$A$1:$G$233,4,FALSE),VLOOKUP(F254&amp;H254,'[1]apoio_cód catmas'!$A$1:$G$233,4,FALSE))</f>
        <v>COZINHEIRO - 12X36 DIURNO - 44H</v>
      </c>
      <c r="H254" s="36">
        <v>44</v>
      </c>
      <c r="I254" s="37">
        <v>0.03</v>
      </c>
      <c r="J254" s="38" t="s">
        <v>46</v>
      </c>
      <c r="K254" s="39">
        <v>20</v>
      </c>
      <c r="L254" s="39">
        <f t="shared" si="113"/>
        <v>1200</v>
      </c>
      <c r="M254" s="40">
        <f>VLOOKUP(D254,[1]apoio_Preços_MGS!$A$6:$AN$238,18,FALSE)</f>
        <v>2480.183171590907</v>
      </c>
      <c r="N254" s="40">
        <f>VLOOKUP(D254,[1]apoio_Preços_MGS!$A$6:$AN$238,19,FALSE)</f>
        <v>0</v>
      </c>
      <c r="O254" s="40">
        <f>VLOOKUP(D254,[1]apoio_Preços_MGS!$A$6:$AN$238,20,FALSE)</f>
        <v>0</v>
      </c>
      <c r="P254" s="40">
        <f>VLOOKUP(D254,[1]apoio_Preços_MGS!$A$6:$AN$238,21,FALSE)</f>
        <v>0</v>
      </c>
      <c r="Q254" s="40">
        <f>VLOOKUP(D254,[1]apoio_Preços_MGS!$A$6:$AN$238,22,FALSE)</f>
        <v>0</v>
      </c>
      <c r="R254" s="40">
        <f>VLOOKUP(D254,[1]apoio_Preços_MGS!$A$6:$AN$238,23,FALSE)</f>
        <v>0</v>
      </c>
      <c r="S254" s="40">
        <f>VLOOKUP(D254,[1]apoio_Preços_MGS!$A$6:$AN$238,24,FALSE)</f>
        <v>0</v>
      </c>
      <c r="T254" s="40">
        <f>VLOOKUP(D254,[1]apoio_Preços_MGS!$A$6:$AN$238,25,FALSE)</f>
        <v>3.4446988494318149</v>
      </c>
      <c r="U254" s="40">
        <f t="shared" si="107"/>
        <v>2483.6278704403389</v>
      </c>
      <c r="V254" s="41">
        <f>VLOOKUP(D254,[1]apoio_Preços_MGS!$A$6:$AN$238,27,FALSE)</f>
        <v>0.81799999999999995</v>
      </c>
      <c r="W254" s="40">
        <f t="shared" si="108"/>
        <v>2031.6075980201972</v>
      </c>
      <c r="X254" s="40">
        <f>VLOOKUP(D254,[1]apoio_Preços_MGS!$A$6:$AN$238,29,FALSE)</f>
        <v>51.978333333333332</v>
      </c>
      <c r="Y254" s="40">
        <f>VLOOKUP(D254,[1]apoio_Preços_MGS!$A$6:$AN$238,30,FALSE)</f>
        <v>48.37833333333333</v>
      </c>
      <c r="Z254" s="40">
        <f t="shared" si="116"/>
        <v>100.35666666666665</v>
      </c>
      <c r="AA254" s="40">
        <f>VLOOKUP(D254,[1]apoio_Preços_MGS!$A$6:$AN$238,32,FALSE)</f>
        <v>4.7619516894545413</v>
      </c>
      <c r="AB254" s="40">
        <f>VLOOKUP(D254,[1]apoio_Preços_MGS!$A$6:$AN$238,33,FALSE)</f>
        <v>94.29281818181812</v>
      </c>
      <c r="AC254" s="41">
        <f>VLOOKUP(D254,[1]apoio_Preços_MGS!$A$6:$AN$238,34,FALSE)</f>
        <v>3.3270405014934099E-2</v>
      </c>
      <c r="AD254" s="40">
        <f>(U254+W254+Z254+AB254+AA254+VLOOKUP(C254,[1]apoio_Prec_Folha!$A:$S,7,FALSE))*AC254</f>
        <v>175.20950202984216</v>
      </c>
      <c r="AE254" s="42">
        <f>VLOOKUP(D254,[1]apoio_Preços_MGS!$A$6:$AN$238,36,FALSE)</f>
        <v>7.0000000000000007E-2</v>
      </c>
      <c r="AF254" s="40">
        <f>(U254+W254+Z254+AB254+AD254+AA254+VLOOKUP(C254,[1]apoio_Prec_Folha!$A:$S,7,FALSE))*AE254</f>
        <v>380.90054849198225</v>
      </c>
      <c r="AG254" s="40">
        <f t="shared" si="117"/>
        <v>5270.75</v>
      </c>
      <c r="AH254" s="43">
        <f t="shared" si="118"/>
        <v>6006.54</v>
      </c>
      <c r="AI254" s="43">
        <f t="shared" si="119"/>
        <v>120130.8</v>
      </c>
      <c r="AJ254" s="43">
        <f t="shared" si="120"/>
        <v>7207848</v>
      </c>
      <c r="AK254" s="44">
        <f>VLOOKUP(D254,[1]apoio_Preços_MGS!$A$6:$AN$238,39,FALSE)</f>
        <v>200.00000000000003</v>
      </c>
      <c r="AL254" s="44">
        <f>IF(J254="demais municípios",VLOOKUP(D254,[1]apoio_Preços_MGS!$A$6:$AN$238,39,FALSE),0)</f>
        <v>200.00000000000003</v>
      </c>
      <c r="AM254" s="44">
        <v>0</v>
      </c>
      <c r="AN254" s="45">
        <f t="shared" si="121"/>
        <v>4000.0000000000005</v>
      </c>
      <c r="AO254" s="44">
        <f>VLOOKUP(D254,[1]apoio_Preços_MGS!$A$6:$AN$238,40,FALSE)</f>
        <v>551.58000000000004</v>
      </c>
      <c r="AP254" s="44">
        <f>IF(J254="demais municípios",VLOOKUP(D254,[1]apoio_Preços_MGS!$A$6:$AN$238,40,FALSE),0)</f>
        <v>551.58000000000004</v>
      </c>
      <c r="AQ254" s="44">
        <v>0</v>
      </c>
      <c r="AR254" s="45">
        <f t="shared" si="122"/>
        <v>11031.6</v>
      </c>
      <c r="AS254" s="45">
        <f t="shared" si="91"/>
        <v>15031.6</v>
      </c>
      <c r="AT254" s="45">
        <f t="shared" si="92"/>
        <v>901896</v>
      </c>
      <c r="AU254" s="62"/>
      <c r="AV254" s="46"/>
      <c r="AW254" s="47"/>
      <c r="AX254" s="48"/>
      <c r="AY254" s="49"/>
      <c r="BA254" s="48"/>
    </row>
    <row r="255" spans="1:53" ht="19.5" customHeight="1" x14ac:dyDescent="0.25">
      <c r="A255" s="33" t="str">
        <f t="shared" si="87"/>
        <v>64033440,03</v>
      </c>
      <c r="B255" s="33" t="str">
        <f t="shared" si="88"/>
        <v>2030,03</v>
      </c>
      <c r="C255" s="34" t="str">
        <f>VLOOKUP(D255,[1]apoio_Preços_MGS!$A$6:$B$238,2,FALSE)</f>
        <v>COZINHEIRO</v>
      </c>
      <c r="D255" s="35">
        <v>203</v>
      </c>
      <c r="E255" s="33" t="str">
        <f>VLOOKUP(D255,[1]apoio_Preços_MGS!$A$6:$F$238,6,FALSE)</f>
        <v>COZINHEIRO - 12x36 NOTURNO - 44H</v>
      </c>
      <c r="F255" s="36">
        <f>IFERROR(VLOOKUP(D255,'[1]apoio_cód catmas'!$B$2:$C$863,2,FALSE),0)</f>
        <v>64033</v>
      </c>
      <c r="G255" s="33" t="str">
        <f>IF(H255="N/A",VLOOKUP(F255&amp;40,'[1]apoio_cód catmas'!$A$1:$G$233,4,FALSE),VLOOKUP(F255&amp;H255,'[1]apoio_cód catmas'!$A$1:$G$233,4,FALSE))</f>
        <v>COZINHEIRO - 12X36 NOTURNO - 44H</v>
      </c>
      <c r="H255" s="36">
        <v>44</v>
      </c>
      <c r="I255" s="37">
        <v>0.03</v>
      </c>
      <c r="J255" s="38" t="s">
        <v>46</v>
      </c>
      <c r="K255" s="39">
        <v>4</v>
      </c>
      <c r="L255" s="39">
        <f t="shared" si="113"/>
        <v>240</v>
      </c>
      <c r="M255" s="40">
        <f>VLOOKUP(D255,[1]apoio_Preços_MGS!$A$6:$AN$238,18,FALSE)</f>
        <v>2480.183171590907</v>
      </c>
      <c r="N255" s="40">
        <f>VLOOKUP(D255,[1]apoio_Preços_MGS!$A$6:$AN$238,19,FALSE)</f>
        <v>0</v>
      </c>
      <c r="O255" s="40">
        <f>VLOOKUP(D255,[1]apoio_Preços_MGS!$A$6:$AN$238,20,FALSE)</f>
        <v>577.78212759544942</v>
      </c>
      <c r="P255" s="40">
        <f>VLOOKUP(D255,[1]apoio_Preços_MGS!$A$6:$AN$238,21,FALSE)</f>
        <v>12.61209678812644</v>
      </c>
      <c r="Q255" s="40">
        <f>VLOOKUP(D255,[1]apoio_Preços_MGS!$A$6:$AN$238,22,FALSE)</f>
        <v>47.295348766865253</v>
      </c>
      <c r="R255" s="40">
        <f>VLOOKUP(D255,[1]apoio_Preços_MGS!$A$6:$AN$238,23,FALSE)</f>
        <v>0</v>
      </c>
      <c r="S255" s="40">
        <f>VLOOKUP(D255,[1]apoio_Preços_MGS!$A$6:$AN$238,24,FALSE)</f>
        <v>0</v>
      </c>
      <c r="T255" s="40">
        <f>VLOOKUP(D255,[1]apoio_Preços_MGS!$A$6:$AN$238,25,FALSE)</f>
        <v>3.4446988494318149</v>
      </c>
      <c r="U255" s="40">
        <f t="shared" si="107"/>
        <v>3121.3174435907799</v>
      </c>
      <c r="V255" s="41">
        <f>VLOOKUP(D255,[1]apoio_Preços_MGS!$A$6:$AN$238,27,FALSE)</f>
        <v>0.81799999999999995</v>
      </c>
      <c r="W255" s="40">
        <f t="shared" si="108"/>
        <v>2553.2376688572576</v>
      </c>
      <c r="X255" s="40">
        <f>VLOOKUP(D255,[1]apoio_Preços_MGS!$A$6:$AN$238,29,FALSE)</f>
        <v>51.978333333333332</v>
      </c>
      <c r="Y255" s="40">
        <f>VLOOKUP(D255,[1]apoio_Preços_MGS!$A$6:$AN$238,30,FALSE)</f>
        <v>48.37833333333333</v>
      </c>
      <c r="Z255" s="40">
        <f t="shared" si="116"/>
        <v>100.35666666666665</v>
      </c>
      <c r="AA255" s="40">
        <f>VLOOKUP(D255,[1]apoio_Preços_MGS!$A$6:$AN$238,32,FALSE)</f>
        <v>4.7619516894545413</v>
      </c>
      <c r="AB255" s="40">
        <f>VLOOKUP(D255,[1]apoio_Preços_MGS!$A$6:$AN$238,33,FALSE)</f>
        <v>94.29281818181812</v>
      </c>
      <c r="AC255" s="41">
        <f>VLOOKUP(D255,[1]apoio_Preços_MGS!$A$6:$AN$238,34,FALSE)</f>
        <v>3.3270405014934099E-2</v>
      </c>
      <c r="AD255" s="40">
        <f>(U255+W255+Z255+AB255+AA255+VLOOKUP(C255,[1]apoio_Prec_Folha!$A:$S,7,FALSE))*AC255</f>
        <v>213.78053612707552</v>
      </c>
      <c r="AE255" s="42">
        <f>VLOOKUP(D255,[1]apoio_Preços_MGS!$A$6:$AN$238,36,FALSE)</f>
        <v>7.0000000000000007E-2</v>
      </c>
      <c r="AF255" s="40">
        <f>(U255+W255+Z255+AB255+AD255+AA255+VLOOKUP(C255,[1]apoio_Prec_Folha!$A:$S,7,FALSE))*AE255</f>
        <v>464.75289595791367</v>
      </c>
      <c r="AG255" s="40">
        <f t="shared" si="117"/>
        <v>6552.49</v>
      </c>
      <c r="AH255" s="43">
        <f t="shared" si="118"/>
        <v>7467.21</v>
      </c>
      <c r="AI255" s="43">
        <f t="shared" si="119"/>
        <v>29868.84</v>
      </c>
      <c r="AJ255" s="43">
        <f t="shared" si="120"/>
        <v>1792130.4</v>
      </c>
      <c r="AK255" s="44">
        <f>VLOOKUP(D255,[1]apoio_Preços_MGS!$A$6:$AN$238,39,FALSE)</f>
        <v>200.00000000000003</v>
      </c>
      <c r="AL255" s="44">
        <f>IF(J255="demais municípios",VLOOKUP(D255,[1]apoio_Preços_MGS!$A$6:$AN$238,39,FALSE),0)</f>
        <v>200.00000000000003</v>
      </c>
      <c r="AM255" s="44">
        <v>0</v>
      </c>
      <c r="AN255" s="45">
        <f t="shared" si="121"/>
        <v>800.00000000000011</v>
      </c>
      <c r="AO255" s="44">
        <f>VLOOKUP(D255,[1]apoio_Preços_MGS!$A$6:$AN$238,40,FALSE)</f>
        <v>551.58000000000004</v>
      </c>
      <c r="AP255" s="44">
        <f>IF(J255="demais municípios",VLOOKUP(D255,[1]apoio_Preços_MGS!$A$6:$AN$238,40,FALSE),0)</f>
        <v>551.58000000000004</v>
      </c>
      <c r="AQ255" s="44">
        <v>0</v>
      </c>
      <c r="AR255" s="45">
        <f t="shared" si="122"/>
        <v>2206.3200000000002</v>
      </c>
      <c r="AS255" s="45">
        <f t="shared" si="91"/>
        <v>3006.32</v>
      </c>
      <c r="AT255" s="45">
        <f t="shared" si="92"/>
        <v>180379.2</v>
      </c>
      <c r="AU255" s="62"/>
      <c r="AV255" s="46"/>
      <c r="AW255" s="47"/>
      <c r="AX255" s="48"/>
      <c r="AY255" s="49"/>
      <c r="BA255" s="48"/>
    </row>
    <row r="256" spans="1:53" ht="19.5" customHeight="1" x14ac:dyDescent="0.25">
      <c r="A256" s="33" t="str">
        <f t="shared" si="87"/>
        <v>63576440,03</v>
      </c>
      <c r="B256" s="33" t="str">
        <f t="shared" si="88"/>
        <v>2010,03</v>
      </c>
      <c r="C256" s="34" t="str">
        <f>VLOOKUP(D256,[1]apoio_Preços_MGS!$A$6:$B$238,2,FALSE)</f>
        <v>COZINHEIRO</v>
      </c>
      <c r="D256" s="35">
        <v>201</v>
      </c>
      <c r="E256" s="33" t="str">
        <f>VLOOKUP(D256,[1]apoio_Preços_MGS!$A$6:$F$238,6,FALSE)</f>
        <v>COZINHEIRO - DIARISTA DIURNO - 44H</v>
      </c>
      <c r="F256" s="36">
        <f>IFERROR(VLOOKUP(D256,'[1]apoio_cód catmas'!$B$2:$C$863,2,FALSE),0)</f>
        <v>63576</v>
      </c>
      <c r="G256" s="33" t="str">
        <f>IF(H256="N/A",VLOOKUP(F256&amp;40,'[1]apoio_cód catmas'!$A$1:$G$233,4,FALSE),VLOOKUP(F256&amp;H256,'[1]apoio_cód catmas'!$A$1:$G$233,4,FALSE))</f>
        <v>COZINHEIRO - 40H OU 44H</v>
      </c>
      <c r="H256" s="36">
        <v>44</v>
      </c>
      <c r="I256" s="37">
        <v>0.03</v>
      </c>
      <c r="J256" s="38" t="s">
        <v>46</v>
      </c>
      <c r="K256" s="39">
        <v>3</v>
      </c>
      <c r="L256" s="39">
        <f t="shared" si="113"/>
        <v>180</v>
      </c>
      <c r="M256" s="40">
        <f>VLOOKUP(D256,[1]apoio_Preços_MGS!$A$6:$AN$238,18,FALSE)</f>
        <v>2480.183171590907</v>
      </c>
      <c r="N256" s="40">
        <f>VLOOKUP(D256,[1]apoio_Preços_MGS!$A$6:$AN$238,19,FALSE)</f>
        <v>0</v>
      </c>
      <c r="O256" s="40">
        <f>VLOOKUP(D256,[1]apoio_Preços_MGS!$A$6:$AN$238,20,FALSE)</f>
        <v>0</v>
      </c>
      <c r="P256" s="40">
        <f>VLOOKUP(D256,[1]apoio_Preços_MGS!$A$6:$AN$238,21,FALSE)</f>
        <v>0</v>
      </c>
      <c r="Q256" s="40">
        <f>VLOOKUP(D256,[1]apoio_Preços_MGS!$A$6:$AN$238,22,FALSE)</f>
        <v>0</v>
      </c>
      <c r="R256" s="40">
        <f>VLOOKUP(D256,[1]apoio_Preços_MGS!$A$6:$AN$238,23,FALSE)</f>
        <v>0</v>
      </c>
      <c r="S256" s="40">
        <f>VLOOKUP(D256,[1]apoio_Preços_MGS!$A$6:$AN$238,24,FALSE)</f>
        <v>0</v>
      </c>
      <c r="T256" s="40">
        <f>VLOOKUP(D256,[1]apoio_Preços_MGS!$A$6:$AN$238,25,FALSE)</f>
        <v>0</v>
      </c>
      <c r="U256" s="40">
        <f t="shared" si="107"/>
        <v>2480.183171590907</v>
      </c>
      <c r="V256" s="41">
        <f>VLOOKUP(D256,[1]apoio_Preços_MGS!$A$6:$AN$238,27,FALSE)</f>
        <v>0.81799999999999995</v>
      </c>
      <c r="W256" s="40">
        <f t="shared" si="108"/>
        <v>2028.7898343613617</v>
      </c>
      <c r="X256" s="40">
        <f>VLOOKUP(D256,[1]apoio_Preços_MGS!$A$6:$AN$238,29,FALSE)</f>
        <v>51.978333333333332</v>
      </c>
      <c r="Y256" s="40">
        <f>VLOOKUP(D256,[1]apoio_Preços_MGS!$A$6:$AN$238,30,FALSE)</f>
        <v>48.37833333333333</v>
      </c>
      <c r="Z256" s="40">
        <f t="shared" si="116"/>
        <v>100.35666666666665</v>
      </c>
      <c r="AA256" s="40">
        <f>VLOOKUP(D256,[1]apoio_Preços_MGS!$A$6:$AN$238,32,FALSE)</f>
        <v>4.7619516894545413</v>
      </c>
      <c r="AB256" s="40">
        <f>VLOOKUP(D256,[1]apoio_Preços_MGS!$A$6:$AN$238,33,FALSE)</f>
        <v>94.29281818181812</v>
      </c>
      <c r="AC256" s="41">
        <f>VLOOKUP(D256,[1]apoio_Preços_MGS!$A$6:$AN$238,34,FALSE)</f>
        <v>3.3270405014934099E-2</v>
      </c>
      <c r="AD256" s="40">
        <f>(U256+W256+Z256+AB256+AA256+VLOOKUP(C256,[1]apoio_Prec_Folha!$A:$S,7,FALSE))*AC256</f>
        <v>175.00114736580124</v>
      </c>
      <c r="AE256" s="42">
        <f>VLOOKUP(D256,[1]apoio_Preços_MGS!$A$6:$AN$238,36,FALSE)</f>
        <v>7.0000000000000007E-2</v>
      </c>
      <c r="AF256" s="40">
        <f>(U256+W256+Z256+AB256+AD256+AA256+VLOOKUP(C256,[1]apoio_Prec_Folha!$A:$S,7,FALSE))*AE256</f>
        <v>380.44759128992069</v>
      </c>
      <c r="AG256" s="40">
        <f t="shared" si="117"/>
        <v>5263.83</v>
      </c>
      <c r="AH256" s="43">
        <f t="shared" si="118"/>
        <v>5998.66</v>
      </c>
      <c r="AI256" s="43">
        <f t="shared" si="119"/>
        <v>17995.98</v>
      </c>
      <c r="AJ256" s="43">
        <f t="shared" si="120"/>
        <v>1079758.8</v>
      </c>
      <c r="AK256" s="44">
        <f>VLOOKUP(D256,[1]apoio_Preços_MGS!$A$6:$AN$238,39,FALSE)</f>
        <v>200.00000000000003</v>
      </c>
      <c r="AL256" s="44">
        <f>IF(J256="demais municípios",VLOOKUP(D256,[1]apoio_Preços_MGS!$A$6:$AN$238,39,FALSE),0)</f>
        <v>200.00000000000003</v>
      </c>
      <c r="AM256" s="44">
        <v>0</v>
      </c>
      <c r="AN256" s="45">
        <f t="shared" si="121"/>
        <v>600.00000000000011</v>
      </c>
      <c r="AO256" s="44">
        <f>VLOOKUP(D256,[1]apoio_Preços_MGS!$A$6:$AN$238,40,FALSE)</f>
        <v>551.58000000000004</v>
      </c>
      <c r="AP256" s="44">
        <f>IF(J256="demais municípios",VLOOKUP(D256,[1]apoio_Preços_MGS!$A$6:$AN$238,40,FALSE),0)</f>
        <v>551.58000000000004</v>
      </c>
      <c r="AQ256" s="44">
        <v>0</v>
      </c>
      <c r="AR256" s="45">
        <f t="shared" si="122"/>
        <v>1654.7400000000002</v>
      </c>
      <c r="AS256" s="45">
        <f t="shared" si="91"/>
        <v>2254.7400000000002</v>
      </c>
      <c r="AT256" s="45">
        <f t="shared" si="92"/>
        <v>135284.40000000002</v>
      </c>
      <c r="AU256" s="62"/>
      <c r="AV256" s="46"/>
      <c r="AW256" s="47"/>
      <c r="AX256" s="48"/>
      <c r="AY256" s="49"/>
      <c r="BA256" s="48"/>
    </row>
    <row r="257" spans="1:53" ht="19.5" customHeight="1" x14ac:dyDescent="0.25">
      <c r="A257" s="33" t="str">
        <f t="shared" si="87"/>
        <v>63576440,05</v>
      </c>
      <c r="B257" s="33" t="str">
        <f t="shared" si="88"/>
        <v>2010,05</v>
      </c>
      <c r="C257" s="34" t="str">
        <f>VLOOKUP(D257,[1]apoio_Preços_MGS!$A$6:$B$238,2,FALSE)</f>
        <v>COZINHEIRO</v>
      </c>
      <c r="D257" s="35">
        <v>201</v>
      </c>
      <c r="E257" s="33" t="str">
        <f>VLOOKUP(D257,[1]apoio_Preços_MGS!$A$6:$F$238,6,FALSE)</f>
        <v>COZINHEIRO - DIARISTA DIURNO - 44H</v>
      </c>
      <c r="F257" s="36">
        <f>IFERROR(VLOOKUP(D257,'[1]apoio_cód catmas'!$B$2:$C$863,2,FALSE),0)</f>
        <v>63576</v>
      </c>
      <c r="G257" s="33" t="str">
        <f>IF(H257="N/A",VLOOKUP(F257&amp;40,'[1]apoio_cód catmas'!$A$1:$G$233,4,FALSE),VLOOKUP(F257&amp;H257,'[1]apoio_cód catmas'!$A$1:$G$233,4,FALSE))</f>
        <v>COZINHEIRO - 40H OU 44H</v>
      </c>
      <c r="H257" s="36">
        <v>44</v>
      </c>
      <c r="I257" s="37">
        <v>0.05</v>
      </c>
      <c r="J257" s="38" t="s">
        <v>47</v>
      </c>
      <c r="K257" s="39">
        <v>5</v>
      </c>
      <c r="L257" s="39">
        <f t="shared" si="113"/>
        <v>300</v>
      </c>
      <c r="M257" s="40">
        <f>VLOOKUP(D257,[1]apoio_Preços_MGS!$A$6:$AN$238,18,FALSE)</f>
        <v>2480.183171590907</v>
      </c>
      <c r="N257" s="40">
        <f>VLOOKUP(D257,[1]apoio_Preços_MGS!$A$6:$AN$238,19,FALSE)</f>
        <v>0</v>
      </c>
      <c r="O257" s="40">
        <f>VLOOKUP(D257,[1]apoio_Preços_MGS!$A$6:$AN$238,20,FALSE)</f>
        <v>0</v>
      </c>
      <c r="P257" s="40">
        <f>VLOOKUP(D257,[1]apoio_Preços_MGS!$A$6:$AN$238,21,FALSE)</f>
        <v>0</v>
      </c>
      <c r="Q257" s="40">
        <f>VLOOKUP(D257,[1]apoio_Preços_MGS!$A$6:$AN$238,22,FALSE)</f>
        <v>0</v>
      </c>
      <c r="R257" s="40">
        <f>VLOOKUP(D257,[1]apoio_Preços_MGS!$A$6:$AN$238,23,FALSE)</f>
        <v>0</v>
      </c>
      <c r="S257" s="40">
        <f>VLOOKUP(D257,[1]apoio_Preços_MGS!$A$6:$AN$238,24,FALSE)</f>
        <v>0</v>
      </c>
      <c r="T257" s="40">
        <f>VLOOKUP(D257,[1]apoio_Preços_MGS!$A$6:$AN$238,25,FALSE)</f>
        <v>0</v>
      </c>
      <c r="U257" s="40">
        <f t="shared" si="107"/>
        <v>2480.183171590907</v>
      </c>
      <c r="V257" s="41">
        <f>VLOOKUP(D257,[1]apoio_Preços_MGS!$A$6:$AN$238,27,FALSE)</f>
        <v>0.81799999999999995</v>
      </c>
      <c r="W257" s="40">
        <f t="shared" si="108"/>
        <v>2028.7898343613617</v>
      </c>
      <c r="X257" s="40">
        <f>VLOOKUP(D257,[1]apoio_Preços_MGS!$A$6:$AN$238,29,FALSE)</f>
        <v>51.978333333333332</v>
      </c>
      <c r="Y257" s="40">
        <f>VLOOKUP(D257,[1]apoio_Preços_MGS!$A$6:$AN$238,30,FALSE)</f>
        <v>48.37833333333333</v>
      </c>
      <c r="Z257" s="40">
        <f t="shared" si="116"/>
        <v>100.35666666666665</v>
      </c>
      <c r="AA257" s="40">
        <f>VLOOKUP(D257,[1]apoio_Preços_MGS!$A$6:$AN$238,32,FALSE)</f>
        <v>4.7619516894545413</v>
      </c>
      <c r="AB257" s="40">
        <f>VLOOKUP(D257,[1]apoio_Preços_MGS!$A$6:$AN$238,33,FALSE)</f>
        <v>94.29281818181812</v>
      </c>
      <c r="AC257" s="41">
        <f>VLOOKUP(D257,[1]apoio_Preços_MGS!$A$6:$AN$238,34,FALSE)</f>
        <v>3.3270405014934099E-2</v>
      </c>
      <c r="AD257" s="40">
        <f>(U257+W257+Z257+AB257+AA257+VLOOKUP(C257,[1]apoio_Prec_Folha!$A:$S,7,FALSE))*AC257</f>
        <v>175.00114736580124</v>
      </c>
      <c r="AE257" s="42">
        <f>VLOOKUP(D257,[1]apoio_Preços_MGS!$A$6:$AN$238,36,FALSE)</f>
        <v>7.0000000000000007E-2</v>
      </c>
      <c r="AF257" s="40">
        <f>(U257+W257+Z257+AB257+AD257+AA257+VLOOKUP(C257,[1]apoio_Prec_Folha!$A:$S,7,FALSE))*AE257</f>
        <v>380.44759128992069</v>
      </c>
      <c r="AG257" s="40">
        <f t="shared" si="117"/>
        <v>5263.83</v>
      </c>
      <c r="AH257" s="43">
        <f t="shared" si="118"/>
        <v>6138.57</v>
      </c>
      <c r="AI257" s="43">
        <f t="shared" si="119"/>
        <v>30692.85</v>
      </c>
      <c r="AJ257" s="43">
        <f t="shared" si="120"/>
        <v>1841571</v>
      </c>
      <c r="AK257" s="44">
        <f>VLOOKUP(D257,[1]apoio_Preços_MGS!$A$6:$AN$238,39,FALSE)</f>
        <v>200.00000000000003</v>
      </c>
      <c r="AL257" s="44">
        <f>IF(J257="demais municípios",VLOOKUP(D257,[1]apoio_Preços_MGS!$A$6:$AN$238,39,FALSE),0)</f>
        <v>0</v>
      </c>
      <c r="AM257" s="44">
        <f>TRUNC(ROUND(($I257)/(1-($I257)),5)*VLOOKUP(D257,[1]apoio_Preços_MGS!$A$6:$AN$238,39,FALSE)+VLOOKUP(D257,[1]apoio_Preços_MGS!$A$6:$AN$238,39,FALSE),2)</f>
        <v>210.52</v>
      </c>
      <c r="AN257" s="45">
        <f t="shared" si="93"/>
        <v>1052.6000000000001</v>
      </c>
      <c r="AO257" s="44">
        <f>VLOOKUP(D257,[1]apoio_Preços_MGS!$A$6:$AN$238,40,FALSE)</f>
        <v>551.58000000000004</v>
      </c>
      <c r="AP257" s="44">
        <f>IF(J257="demais municípios",VLOOKUP(D257,[1]apoio_Preços_MGS!$A$6:$AN$238,40,FALSE),0)</f>
        <v>0</v>
      </c>
      <c r="AQ257" s="44">
        <f>TRUNC(ROUND(($I257)/(1-($I257)),5)*VLOOKUP(D257,[1]apoio_Preços_MGS!$A$6:$AN$238,40,FALSE)+VLOOKUP(D257,[1]apoio_Preços_MGS!$A$6:$AN$238,40,FALSE),2)</f>
        <v>580.6</v>
      </c>
      <c r="AR257" s="45">
        <f t="shared" si="94"/>
        <v>2903</v>
      </c>
      <c r="AS257" s="45">
        <f t="shared" si="91"/>
        <v>3955.6000000000004</v>
      </c>
      <c r="AT257" s="45">
        <f t="shared" si="92"/>
        <v>237336.00000000003</v>
      </c>
      <c r="AU257" s="62"/>
      <c r="AV257" s="46"/>
      <c r="AW257" s="47"/>
      <c r="AX257" s="48"/>
      <c r="AY257" s="49"/>
      <c r="BA257" s="48"/>
    </row>
    <row r="258" spans="1:53" ht="19.5" customHeight="1" x14ac:dyDescent="0.25">
      <c r="A258" s="33" t="str">
        <f t="shared" si="87"/>
        <v>63576400,05</v>
      </c>
      <c r="B258" s="33" t="str">
        <f t="shared" si="88"/>
        <v>18970,05</v>
      </c>
      <c r="C258" s="34" t="str">
        <f>VLOOKUP(D258,[1]apoio_Preços_MGS!$A$6:$B$238,2,FALSE)</f>
        <v>COZINHEIRO</v>
      </c>
      <c r="D258" s="35">
        <v>1897</v>
      </c>
      <c r="E258" s="33" t="str">
        <f>VLOOKUP(D258,[1]apoio_Preços_MGS!$A$6:$F$238,6,FALSE)</f>
        <v>COZINHEIRO - DIARISTA DIURNO - 40H</v>
      </c>
      <c r="F258" s="36">
        <f>IFERROR(VLOOKUP(D258,'[1]apoio_cód catmas'!$B$2:$C$863,2,FALSE),0)</f>
        <v>63576</v>
      </c>
      <c r="G258" s="33" t="str">
        <f>IF(H258="N/A",VLOOKUP(F258&amp;40,'[1]apoio_cód catmas'!$A$1:$G$233,4,FALSE),VLOOKUP(F258&amp;H258,'[1]apoio_cód catmas'!$A$1:$G$233,4,FALSE))</f>
        <v>COZINHEIRO - 40H OU 44H</v>
      </c>
      <c r="H258" s="36">
        <v>40</v>
      </c>
      <c r="I258" s="37">
        <v>0.05</v>
      </c>
      <c r="J258" s="38" t="s">
        <v>47</v>
      </c>
      <c r="K258" s="39">
        <v>2</v>
      </c>
      <c r="L258" s="39">
        <f t="shared" si="113"/>
        <v>120</v>
      </c>
      <c r="M258" s="40">
        <f>VLOOKUP(D258,[1]apoio_Preços_MGS!$A$6:$AN$238,18,FALSE)</f>
        <v>2254.7119741735519</v>
      </c>
      <c r="N258" s="40">
        <f>VLOOKUP(D258,[1]apoio_Preços_MGS!$A$6:$AN$238,19,FALSE)</f>
        <v>0</v>
      </c>
      <c r="O258" s="40">
        <f>VLOOKUP(D258,[1]apoio_Preços_MGS!$A$6:$AN$238,20,FALSE)</f>
        <v>0</v>
      </c>
      <c r="P258" s="40">
        <f>VLOOKUP(D258,[1]apoio_Preços_MGS!$A$6:$AN$238,21,FALSE)</f>
        <v>0</v>
      </c>
      <c r="Q258" s="40">
        <f>VLOOKUP(D258,[1]apoio_Preços_MGS!$A$6:$AN$238,22,FALSE)</f>
        <v>0</v>
      </c>
      <c r="R258" s="40">
        <f>VLOOKUP(D258,[1]apoio_Preços_MGS!$A$6:$AN$238,23,FALSE)</f>
        <v>0</v>
      </c>
      <c r="S258" s="40">
        <f>VLOOKUP(D258,[1]apoio_Preços_MGS!$A$6:$AN$238,24,FALSE)</f>
        <v>0</v>
      </c>
      <c r="T258" s="40">
        <f>VLOOKUP(D258,[1]apoio_Preços_MGS!$A$6:$AN$238,25,FALSE)</f>
        <v>0</v>
      </c>
      <c r="U258" s="40">
        <f t="shared" si="107"/>
        <v>2254.7119741735519</v>
      </c>
      <c r="V258" s="41">
        <f>VLOOKUP(D258,[1]apoio_Preços_MGS!$A$6:$AN$238,27,FALSE)</f>
        <v>0.81799999999999995</v>
      </c>
      <c r="W258" s="40">
        <f t="shared" si="108"/>
        <v>1844.3543948739652</v>
      </c>
      <c r="X258" s="40">
        <f>VLOOKUP(D258,[1]apoio_Preços_MGS!$A$6:$AN$238,29,FALSE)</f>
        <v>51.978333333333332</v>
      </c>
      <c r="Y258" s="40">
        <f>VLOOKUP(D258,[1]apoio_Preços_MGS!$A$6:$AN$238,30,FALSE)</f>
        <v>48.37833333333333</v>
      </c>
      <c r="Z258" s="40">
        <f t="shared" si="116"/>
        <v>100.35666666666665</v>
      </c>
      <c r="AA258" s="40">
        <f>VLOOKUP(D258,[1]apoio_Preços_MGS!$A$6:$AN$238,32,FALSE)</f>
        <v>4.3290469904132189</v>
      </c>
      <c r="AB258" s="40">
        <f>VLOOKUP(D258,[1]apoio_Preços_MGS!$A$6:$AN$238,33,FALSE)</f>
        <v>101.41327272727267</v>
      </c>
      <c r="AC258" s="41">
        <f>VLOOKUP(D258,[1]apoio_Preços_MGS!$A$6:$AN$238,34,FALSE)</f>
        <v>3.3270405014934099E-2</v>
      </c>
      <c r="AD258" s="40">
        <f>(U258+W258+Z258+AB258+AA258+VLOOKUP(C258,[1]apoio_Prec_Folha!$A:$S,7,FALSE))*AC258</f>
        <v>161.58588502961837</v>
      </c>
      <c r="AE258" s="42">
        <f>VLOOKUP(D258,[1]apoio_Preços_MGS!$A$6:$AN$238,36,FALSE)</f>
        <v>7.0000000000000007E-2</v>
      </c>
      <c r="AF258" s="40">
        <f>(U258+W258+Z258+AB258+AD258+AA258+VLOOKUP(C258,[1]apoio_Prec_Folha!$A:$S,7,FALSE))*AE258</f>
        <v>351.28318683230418</v>
      </c>
      <c r="AG258" s="40">
        <f t="shared" si="117"/>
        <v>4818.03</v>
      </c>
      <c r="AH258" s="43">
        <f t="shared" si="118"/>
        <v>5618.69</v>
      </c>
      <c r="AI258" s="43">
        <f t="shared" si="119"/>
        <v>11237.38</v>
      </c>
      <c r="AJ258" s="43">
        <f t="shared" si="120"/>
        <v>674242.79999999993</v>
      </c>
      <c r="AK258" s="44">
        <f>VLOOKUP(D258,[1]apoio_Preços_MGS!$A$6:$AN$238,39,FALSE)</f>
        <v>181.81818181818184</v>
      </c>
      <c r="AL258" s="44">
        <f>IF(J258="demais municípios",VLOOKUP(D258,[1]apoio_Preços_MGS!$A$6:$AN$238,39,FALSE),0)</f>
        <v>0</v>
      </c>
      <c r="AM258" s="44">
        <f>TRUNC(ROUND(($I258)/(1-($I258)),5)*VLOOKUP(D258,[1]apoio_Preços_MGS!$A$6:$AN$238,39,FALSE)+VLOOKUP(D258,[1]apoio_Preços_MGS!$A$6:$AN$238,39,FALSE),2)</f>
        <v>191.38</v>
      </c>
      <c r="AN258" s="45">
        <f t="shared" si="93"/>
        <v>382.76</v>
      </c>
      <c r="AO258" s="44">
        <f>VLOOKUP(D258,[1]apoio_Preços_MGS!$A$6:$AN$238,40,FALSE)</f>
        <v>551.58000000000004</v>
      </c>
      <c r="AP258" s="44">
        <f>IF(J258="demais municípios",VLOOKUP(D258,[1]apoio_Preços_MGS!$A$6:$AN$238,40,FALSE),0)</f>
        <v>0</v>
      </c>
      <c r="AQ258" s="44">
        <f>TRUNC(ROUND(($I258)/(1-($I258)),5)*VLOOKUP(D258,[1]apoio_Preços_MGS!$A$6:$AN$238,40,FALSE)+VLOOKUP(D258,[1]apoio_Preços_MGS!$A$6:$AN$238,40,FALSE),2)</f>
        <v>580.6</v>
      </c>
      <c r="AR258" s="45">
        <f t="shared" si="94"/>
        <v>1161.2</v>
      </c>
      <c r="AS258" s="45">
        <f t="shared" si="91"/>
        <v>1543.96</v>
      </c>
      <c r="AT258" s="45">
        <f t="shared" si="92"/>
        <v>92637.6</v>
      </c>
      <c r="AU258" s="62"/>
      <c r="AV258" s="46"/>
      <c r="AW258" s="47"/>
      <c r="AX258" s="48"/>
      <c r="AY258" s="49"/>
      <c r="BA258" s="48"/>
    </row>
    <row r="259" spans="1:53" ht="19.5" customHeight="1" x14ac:dyDescent="0.25">
      <c r="A259" s="33" t="str">
        <f t="shared" ref="A259:A323" si="123">CONCATENATE(F259,H259,I259)</f>
        <v>63347300,02</v>
      </c>
      <c r="B259" s="33" t="str">
        <f t="shared" ref="B259:B323" si="124">CONCATENATE(D259,I259)</f>
        <v>820,02</v>
      </c>
      <c r="C259" s="34" t="str">
        <f>VLOOKUP(D259,[1]apoio_Preços_MGS!$A$6:$B$238,2,FALSE)</f>
        <v>DIGITADOR</v>
      </c>
      <c r="D259" s="35">
        <v>82</v>
      </c>
      <c r="E259" s="33" t="str">
        <f>VLOOKUP(D259,[1]apoio_Preços_MGS!$A$6:$F$238,6,FALSE)</f>
        <v>DIGITADOR - DIARISTA DIURNO - 30H</v>
      </c>
      <c r="F259" s="36">
        <f>IFERROR(VLOOKUP(D259,'[1]apoio_cód catmas'!$B$2:$C$863,2,FALSE),0)</f>
        <v>63347</v>
      </c>
      <c r="G259" s="33" t="str">
        <f>IF(H259="N/A",VLOOKUP(F259&amp;40,'[1]apoio_cód catmas'!$A$1:$G$233,4,FALSE),VLOOKUP(F259&amp;H259,'[1]apoio_cód catmas'!$A$1:$G$233,4,FALSE))</f>
        <v>DIGITADOR - 30H OU 36H</v>
      </c>
      <c r="H259" s="36">
        <v>30</v>
      </c>
      <c r="I259" s="37">
        <v>0.02</v>
      </c>
      <c r="J259" s="38" t="s">
        <v>46</v>
      </c>
      <c r="K259" s="39">
        <v>12</v>
      </c>
      <c r="L259" s="39">
        <f t="shared" si="113"/>
        <v>720</v>
      </c>
      <c r="M259" s="40">
        <f>VLOOKUP(D259,[1]apoio_Preços_MGS!$A$6:$AN$238,18,FALSE)</f>
        <v>1777.4186213779815</v>
      </c>
      <c r="N259" s="40">
        <f>VLOOKUP(D259,[1]apoio_Preços_MGS!$A$6:$AN$238,19,FALSE)</f>
        <v>0</v>
      </c>
      <c r="O259" s="40">
        <f>VLOOKUP(D259,[1]apoio_Preços_MGS!$A$6:$AN$238,20,FALSE)</f>
        <v>0</v>
      </c>
      <c r="P259" s="40">
        <f>VLOOKUP(D259,[1]apoio_Preços_MGS!$A$6:$AN$238,21,FALSE)</f>
        <v>0</v>
      </c>
      <c r="Q259" s="40">
        <f>VLOOKUP(D259,[1]apoio_Preços_MGS!$A$6:$AN$238,22,FALSE)</f>
        <v>0</v>
      </c>
      <c r="R259" s="40">
        <f>VLOOKUP(D259,[1]apoio_Preços_MGS!$A$6:$AN$238,23,FALSE)</f>
        <v>0</v>
      </c>
      <c r="S259" s="40">
        <f>VLOOKUP(D259,[1]apoio_Preços_MGS!$A$6:$AN$238,24,FALSE)</f>
        <v>0</v>
      </c>
      <c r="T259" s="40">
        <f>VLOOKUP(D259,[1]apoio_Preços_MGS!$A$6:$AN$238,25,FALSE)</f>
        <v>0</v>
      </c>
      <c r="U259" s="40">
        <f t="shared" si="107"/>
        <v>1777.4186213779815</v>
      </c>
      <c r="V259" s="41">
        <f>VLOOKUP(D259,[1]apoio_Preços_MGS!$A$6:$AN$238,27,FALSE)</f>
        <v>0.81799999999999995</v>
      </c>
      <c r="W259" s="40">
        <f t="shared" si="108"/>
        <v>1453.9284322871888</v>
      </c>
      <c r="X259" s="40">
        <f>VLOOKUP(D259,[1]apoio_Preços_MGS!$A$6:$AN$238,29,FALSE)</f>
        <v>48.37</v>
      </c>
      <c r="Y259" s="40">
        <f>VLOOKUP(D259,[1]apoio_Preços_MGS!$A$6:$AN$238,30,FALSE)</f>
        <v>0</v>
      </c>
      <c r="Z259" s="40">
        <f t="shared" si="116"/>
        <v>48.37</v>
      </c>
      <c r="AA259" s="40">
        <f>VLOOKUP(D259,[1]apoio_Preços_MGS!$A$6:$AN$238,32,FALSE)</f>
        <v>3.4126437530457241</v>
      </c>
      <c r="AB259" s="40">
        <f>VLOOKUP(D259,[1]apoio_Preços_MGS!$A$6:$AN$238,33,FALSE)</f>
        <v>139.53012477718357</v>
      </c>
      <c r="AC259" s="41">
        <f>VLOOKUP(D259,[1]apoio_Preços_MGS!$A$6:$AN$238,34,FALSE)</f>
        <v>0</v>
      </c>
      <c r="AD259" s="40">
        <f>(U259+W259+Z259+AB259+AA259+VLOOKUP(C259,[1]apoio_Prec_Folha!$A:$S,7,FALSE))*AC259</f>
        <v>0</v>
      </c>
      <c r="AE259" s="42">
        <f>VLOOKUP(D259,[1]apoio_Preços_MGS!$A$6:$AN$238,36,FALSE)</f>
        <v>7.0000000000000007E-2</v>
      </c>
      <c r="AF259" s="40">
        <f>(U259+W259+Z259+AB259+AD259+AA259+VLOOKUP(C259,[1]apoio_Prec_Folha!$A:$S,7,FALSE))*AE259</f>
        <v>277.51530323995257</v>
      </c>
      <c r="AG259" s="40">
        <f t="shared" si="117"/>
        <v>3700.17</v>
      </c>
      <c r="AH259" s="43">
        <f t="shared" si="118"/>
        <v>4169.2</v>
      </c>
      <c r="AI259" s="43">
        <f t="shared" si="119"/>
        <v>50030.399999999994</v>
      </c>
      <c r="AJ259" s="43">
        <f t="shared" si="120"/>
        <v>3001824</v>
      </c>
      <c r="AK259" s="44">
        <f>VLOOKUP(D259,[1]apoio_Preços_MGS!$A$6:$AN$238,39,FALSE)</f>
        <v>136.36363636363637</v>
      </c>
      <c r="AL259" s="44">
        <f>IF(J259="demais municípios",VLOOKUP(D259,[1]apoio_Preços_MGS!$A$6:$AN$238,39,FALSE),0)</f>
        <v>136.36363636363637</v>
      </c>
      <c r="AM259" s="44">
        <v>0</v>
      </c>
      <c r="AN259" s="45">
        <f t="shared" ref="AN259:AN262" si="125">AK259*K259</f>
        <v>1636.3636363636365</v>
      </c>
      <c r="AO259" s="44">
        <f>VLOOKUP(D259,[1]apoio_Preços_MGS!$A$6:$AN$238,40,FALSE)</f>
        <v>541.84</v>
      </c>
      <c r="AP259" s="44">
        <f>IF(J259="demais municípios",VLOOKUP(D259,[1]apoio_Preços_MGS!$A$6:$AN$238,40,FALSE),0)</f>
        <v>541.84</v>
      </c>
      <c r="AQ259" s="44">
        <v>0</v>
      </c>
      <c r="AR259" s="45">
        <f t="shared" ref="AR259:AR262" si="126">AO259*K259</f>
        <v>6502.08</v>
      </c>
      <c r="AS259" s="45">
        <f t="shared" si="91"/>
        <v>8138.443636363636</v>
      </c>
      <c r="AT259" s="45">
        <f t="shared" si="92"/>
        <v>488306.61818181816</v>
      </c>
      <c r="AU259" s="62"/>
      <c r="AV259" s="46"/>
      <c r="AW259" s="47"/>
      <c r="AX259" s="48"/>
      <c r="AY259" s="49"/>
      <c r="BA259" s="48"/>
    </row>
    <row r="260" spans="1:53" ht="19.5" customHeight="1" x14ac:dyDescent="0.25">
      <c r="A260" s="33" t="str">
        <f t="shared" si="123"/>
        <v>63347300,03</v>
      </c>
      <c r="B260" s="33" t="str">
        <f t="shared" si="124"/>
        <v>820,03</v>
      </c>
      <c r="C260" s="34" t="str">
        <f>VLOOKUP(D260,[1]apoio_Preços_MGS!$A$6:$B$238,2,FALSE)</f>
        <v>DIGITADOR</v>
      </c>
      <c r="D260" s="35">
        <v>82</v>
      </c>
      <c r="E260" s="33" t="str">
        <f>VLOOKUP(D260,[1]apoio_Preços_MGS!$A$6:$F$238,6,FALSE)</f>
        <v>DIGITADOR - DIARISTA DIURNO - 30H</v>
      </c>
      <c r="F260" s="36">
        <f>IFERROR(VLOOKUP(D260,'[1]apoio_cód catmas'!$B$2:$C$863,2,FALSE),0)</f>
        <v>63347</v>
      </c>
      <c r="G260" s="33" t="str">
        <f>IF(H260="N/A",VLOOKUP(F260&amp;40,'[1]apoio_cód catmas'!$A$1:$G$233,4,FALSE),VLOOKUP(F260&amp;H260,'[1]apoio_cód catmas'!$A$1:$G$233,4,FALSE))</f>
        <v>DIGITADOR - 30H OU 36H</v>
      </c>
      <c r="H260" s="36">
        <v>30</v>
      </c>
      <c r="I260" s="37">
        <v>0.03</v>
      </c>
      <c r="J260" s="38" t="s">
        <v>46</v>
      </c>
      <c r="K260" s="39">
        <v>14</v>
      </c>
      <c r="L260" s="39">
        <f t="shared" si="113"/>
        <v>840</v>
      </c>
      <c r="M260" s="40">
        <f>VLOOKUP(D260,[1]apoio_Preços_MGS!$A$6:$AN$238,18,FALSE)</f>
        <v>1777.4186213779815</v>
      </c>
      <c r="N260" s="40">
        <f>VLOOKUP(D260,[1]apoio_Preços_MGS!$A$6:$AN$238,19,FALSE)</f>
        <v>0</v>
      </c>
      <c r="O260" s="40">
        <f>VLOOKUP(D260,[1]apoio_Preços_MGS!$A$6:$AN$238,20,FALSE)</f>
        <v>0</v>
      </c>
      <c r="P260" s="40">
        <f>VLOOKUP(D260,[1]apoio_Preços_MGS!$A$6:$AN$238,21,FALSE)</f>
        <v>0</v>
      </c>
      <c r="Q260" s="40">
        <f>VLOOKUP(D260,[1]apoio_Preços_MGS!$A$6:$AN$238,22,FALSE)</f>
        <v>0</v>
      </c>
      <c r="R260" s="40">
        <f>VLOOKUP(D260,[1]apoio_Preços_MGS!$A$6:$AN$238,23,FALSE)</f>
        <v>0</v>
      </c>
      <c r="S260" s="40">
        <f>VLOOKUP(D260,[1]apoio_Preços_MGS!$A$6:$AN$238,24,FALSE)</f>
        <v>0</v>
      </c>
      <c r="T260" s="40">
        <f>VLOOKUP(D260,[1]apoio_Preços_MGS!$A$6:$AN$238,25,FALSE)</f>
        <v>0</v>
      </c>
      <c r="U260" s="40">
        <f t="shared" si="107"/>
        <v>1777.4186213779815</v>
      </c>
      <c r="V260" s="41">
        <v>0.81799999999999995</v>
      </c>
      <c r="W260" s="40">
        <f t="shared" si="108"/>
        <v>1453.9284322871888</v>
      </c>
      <c r="X260" s="40">
        <f>VLOOKUP(D260,[1]apoio_Preços_MGS!$A$6:$AN$238,29,FALSE)</f>
        <v>48.37</v>
      </c>
      <c r="Y260" s="40">
        <f>VLOOKUP(D260,[1]apoio_Preços_MGS!$A$6:$AN$238,30,FALSE)</f>
        <v>0</v>
      </c>
      <c r="Z260" s="40">
        <f t="shared" si="116"/>
        <v>48.37</v>
      </c>
      <c r="AA260" s="40">
        <f>VLOOKUP(D260,[1]apoio_Preços_MGS!$A$6:$AN$238,32,FALSE)</f>
        <v>3.4126437530457241</v>
      </c>
      <c r="AB260" s="40">
        <f>VLOOKUP(D260,[1]apoio_Preços_MGS!$A$6:$AN$238,33,FALSE)</f>
        <v>139.53012477718357</v>
      </c>
      <c r="AC260" s="41">
        <f>VLOOKUP(D260,[1]apoio_Preços_MGS!$A$6:$AN$238,34,FALSE)</f>
        <v>0</v>
      </c>
      <c r="AD260" s="40">
        <f>(U260+W260+Z260+AB260+AA260+VLOOKUP(C260,[1]apoio_Prec_Folha!$A:$S,7,FALSE))*AC260</f>
        <v>0</v>
      </c>
      <c r="AE260" s="42">
        <f>VLOOKUP(D260,[1]apoio_Preços_MGS!$A$6:$AN$238,36,FALSE)</f>
        <v>7.0000000000000007E-2</v>
      </c>
      <c r="AF260" s="40">
        <f>(U260+W260+Z260+AB260+AD260+AA260+VLOOKUP(C260,[1]apoio_Prec_Folha!$A:$S,7,FALSE))*AE260</f>
        <v>277.51530323995257</v>
      </c>
      <c r="AG260" s="40">
        <f t="shared" si="117"/>
        <v>3700.17</v>
      </c>
      <c r="AH260" s="43">
        <f t="shared" si="118"/>
        <v>4216.71</v>
      </c>
      <c r="AI260" s="43">
        <f t="shared" si="119"/>
        <v>59033.94</v>
      </c>
      <c r="AJ260" s="43">
        <f t="shared" si="120"/>
        <v>3542036.4</v>
      </c>
      <c r="AK260" s="44">
        <f>VLOOKUP(D260,[1]apoio_Preços_MGS!$A$6:$AN$238,39,FALSE)</f>
        <v>136.36363636363637</v>
      </c>
      <c r="AL260" s="44">
        <f>IF(J260="demais municípios",VLOOKUP(D260,[1]apoio_Preços_MGS!$A$6:$AN$238,39,FALSE),0)</f>
        <v>136.36363636363637</v>
      </c>
      <c r="AM260" s="44">
        <v>0</v>
      </c>
      <c r="AN260" s="45">
        <f t="shared" si="125"/>
        <v>1909.0909090909092</v>
      </c>
      <c r="AO260" s="44">
        <f>VLOOKUP(D260,[1]apoio_Preços_MGS!$A$6:$AN$238,40,FALSE)</f>
        <v>541.84</v>
      </c>
      <c r="AP260" s="44">
        <f>IF(J260="demais municípios",VLOOKUP(D260,[1]apoio_Preços_MGS!$A$6:$AN$238,40,FALSE),0)</f>
        <v>541.84</v>
      </c>
      <c r="AQ260" s="44">
        <v>0</v>
      </c>
      <c r="AR260" s="45">
        <f t="shared" si="126"/>
        <v>7585.76</v>
      </c>
      <c r="AS260" s="45">
        <f t="shared" ref="AS260:AS324" si="127">AN260+AR260</f>
        <v>9494.8509090909101</v>
      </c>
      <c r="AT260" s="45">
        <f t="shared" si="92"/>
        <v>569691.05454545456</v>
      </c>
      <c r="AU260" s="62"/>
      <c r="AV260" s="46"/>
      <c r="AW260" s="47"/>
      <c r="AX260" s="48"/>
      <c r="AY260" s="49"/>
      <c r="BA260" s="48"/>
    </row>
    <row r="261" spans="1:53" ht="19.5" customHeight="1" x14ac:dyDescent="0.25">
      <c r="A261" s="33" t="str">
        <f t="shared" si="123"/>
        <v>63347300,035</v>
      </c>
      <c r="B261" s="33" t="str">
        <f t="shared" si="124"/>
        <v>820,035</v>
      </c>
      <c r="C261" s="34" t="str">
        <f>VLOOKUP(D261,[1]apoio_Preços_MGS!$A$6:$B$238,2,FALSE)</f>
        <v>DIGITADOR</v>
      </c>
      <c r="D261" s="35">
        <v>82</v>
      </c>
      <c r="E261" s="33" t="str">
        <f>VLOOKUP(D261,[1]apoio_Preços_MGS!$A$6:$F$238,6,FALSE)</f>
        <v>DIGITADOR - DIARISTA DIURNO - 30H</v>
      </c>
      <c r="F261" s="36">
        <f>IFERROR(VLOOKUP(D261,'[1]apoio_cód catmas'!$B$2:$C$863,2,FALSE),0)</f>
        <v>63347</v>
      </c>
      <c r="G261" s="33" t="str">
        <f>IF(H261="N/A",VLOOKUP(F261&amp;40,'[1]apoio_cód catmas'!$A$1:$G$233,4,FALSE),VLOOKUP(F261&amp;H261,'[1]apoio_cód catmas'!$A$1:$G$233,4,FALSE))</f>
        <v>DIGITADOR - 30H OU 36H</v>
      </c>
      <c r="H261" s="36">
        <v>30</v>
      </c>
      <c r="I261" s="37">
        <v>3.5000000000000003E-2</v>
      </c>
      <c r="J261" s="38" t="s">
        <v>46</v>
      </c>
      <c r="K261" s="39">
        <v>4</v>
      </c>
      <c r="L261" s="39">
        <f t="shared" si="113"/>
        <v>240</v>
      </c>
      <c r="M261" s="40">
        <f>VLOOKUP(D261,[1]apoio_Preços_MGS!$A$6:$AN$238,18,FALSE)</f>
        <v>1777.4186213779815</v>
      </c>
      <c r="N261" s="40">
        <f>VLOOKUP(D261,[1]apoio_Preços_MGS!$A$6:$AN$238,19,FALSE)</f>
        <v>0</v>
      </c>
      <c r="O261" s="40">
        <f>VLOOKUP(D261,[1]apoio_Preços_MGS!$A$6:$AN$238,20,FALSE)</f>
        <v>0</v>
      </c>
      <c r="P261" s="40">
        <f>VLOOKUP(D261,[1]apoio_Preços_MGS!$A$6:$AN$238,21,FALSE)</f>
        <v>0</v>
      </c>
      <c r="Q261" s="40">
        <f>VLOOKUP(D261,[1]apoio_Preços_MGS!$A$6:$AN$238,22,FALSE)</f>
        <v>0</v>
      </c>
      <c r="R261" s="40">
        <f>VLOOKUP(D261,[1]apoio_Preços_MGS!$A$6:$AN$238,23,FALSE)</f>
        <v>0</v>
      </c>
      <c r="S261" s="40">
        <f>VLOOKUP(D261,[1]apoio_Preços_MGS!$A$6:$AN$238,24,FALSE)</f>
        <v>0</v>
      </c>
      <c r="T261" s="40">
        <f>VLOOKUP(D261,[1]apoio_Preços_MGS!$A$6:$AN$238,25,FALSE)</f>
        <v>0</v>
      </c>
      <c r="U261" s="40">
        <f t="shared" si="107"/>
        <v>1777.4186213779815</v>
      </c>
      <c r="V261" s="41">
        <f>VLOOKUP(D261,[1]apoio_Preços_MGS!$A$6:$AN$238,27,FALSE)</f>
        <v>0.81799999999999995</v>
      </c>
      <c r="W261" s="40">
        <f t="shared" si="108"/>
        <v>1453.9284322871888</v>
      </c>
      <c r="X261" s="40">
        <f>VLOOKUP(D261,[1]apoio_Preços_MGS!$A$6:$AN$238,29,FALSE)</f>
        <v>48.37</v>
      </c>
      <c r="Y261" s="40">
        <f>VLOOKUP(D261,[1]apoio_Preços_MGS!$A$6:$AN$238,30,FALSE)</f>
        <v>0</v>
      </c>
      <c r="Z261" s="40">
        <f t="shared" si="116"/>
        <v>48.37</v>
      </c>
      <c r="AA261" s="40">
        <f>VLOOKUP(D261,[1]apoio_Preços_MGS!$A$6:$AN$238,32,FALSE)</f>
        <v>3.4126437530457241</v>
      </c>
      <c r="AB261" s="40">
        <f>VLOOKUP(D261,[1]apoio_Preços_MGS!$A$6:$AN$238,33,FALSE)</f>
        <v>139.53012477718357</v>
      </c>
      <c r="AC261" s="41">
        <f>VLOOKUP(D261,[1]apoio_Preços_MGS!$A$6:$AN$238,34,FALSE)</f>
        <v>0</v>
      </c>
      <c r="AD261" s="40">
        <f>(U261+W261+Z261+AB261+AA261+VLOOKUP(C261,[1]apoio_Prec_Folha!$A:$S,7,FALSE))*AC261</f>
        <v>0</v>
      </c>
      <c r="AE261" s="42">
        <f>VLOOKUP(D261,[1]apoio_Preços_MGS!$A$6:$AN$238,36,FALSE)</f>
        <v>7.0000000000000007E-2</v>
      </c>
      <c r="AF261" s="40">
        <f>(U261+W261+Z261+AB261+AD261+AA261+VLOOKUP(C261,[1]apoio_Prec_Folha!$A:$S,7,FALSE))*AE261</f>
        <v>277.51530323995257</v>
      </c>
      <c r="AG261" s="40">
        <f t="shared" si="117"/>
        <v>3700.17</v>
      </c>
      <c r="AH261" s="43">
        <f t="shared" si="118"/>
        <v>4240.87</v>
      </c>
      <c r="AI261" s="43">
        <f t="shared" si="119"/>
        <v>16963.48</v>
      </c>
      <c r="AJ261" s="43">
        <f t="shared" si="120"/>
        <v>1017808.7999999999</v>
      </c>
      <c r="AK261" s="44">
        <f>VLOOKUP(D261,[1]apoio_Preços_MGS!$A$6:$AN$238,39,FALSE)</f>
        <v>136.36363636363637</v>
      </c>
      <c r="AL261" s="44">
        <f>IF(J261="demais municípios",VLOOKUP(D261,[1]apoio_Preços_MGS!$A$6:$AN$238,39,FALSE),0)</f>
        <v>136.36363636363637</v>
      </c>
      <c r="AM261" s="44">
        <v>0</v>
      </c>
      <c r="AN261" s="45">
        <f t="shared" si="125"/>
        <v>545.4545454545455</v>
      </c>
      <c r="AO261" s="44">
        <f>VLOOKUP(D261,[1]apoio_Preços_MGS!$A$6:$AN$238,40,FALSE)</f>
        <v>541.84</v>
      </c>
      <c r="AP261" s="44">
        <f>IF(J261="demais municípios",VLOOKUP(D261,[1]apoio_Preços_MGS!$A$6:$AN$238,40,FALSE),0)</f>
        <v>541.84</v>
      </c>
      <c r="AQ261" s="44">
        <v>0</v>
      </c>
      <c r="AR261" s="45">
        <f t="shared" si="126"/>
        <v>2167.36</v>
      </c>
      <c r="AS261" s="45">
        <f t="shared" si="127"/>
        <v>2712.8145454545456</v>
      </c>
      <c r="AT261" s="45">
        <f t="shared" ref="AT261:AT325" si="128">(AN261+AR261)*60</f>
        <v>162768.87272727274</v>
      </c>
      <c r="AU261" s="62"/>
      <c r="AV261" s="46"/>
      <c r="AW261" s="47"/>
      <c r="AX261" s="48"/>
      <c r="AY261" s="49"/>
      <c r="BA261" s="48"/>
    </row>
    <row r="262" spans="1:53" ht="19.5" customHeight="1" x14ac:dyDescent="0.25">
      <c r="A262" s="33" t="str">
        <f t="shared" si="123"/>
        <v>63347300,04</v>
      </c>
      <c r="B262" s="33" t="str">
        <f t="shared" si="124"/>
        <v>820,04</v>
      </c>
      <c r="C262" s="34" t="str">
        <f>VLOOKUP(D262,[1]apoio_Preços_MGS!$A$6:$B$238,2,FALSE)</f>
        <v>DIGITADOR</v>
      </c>
      <c r="D262" s="35">
        <v>82</v>
      </c>
      <c r="E262" s="33" t="str">
        <f>VLOOKUP(D262,[1]apoio_Preços_MGS!$A$6:$F$238,6,FALSE)</f>
        <v>DIGITADOR - DIARISTA DIURNO - 30H</v>
      </c>
      <c r="F262" s="36">
        <f>IFERROR(VLOOKUP(D262,'[1]apoio_cód catmas'!$B$2:$C$863,2,FALSE),0)</f>
        <v>63347</v>
      </c>
      <c r="G262" s="33" t="str">
        <f>IF(H262="N/A",VLOOKUP(F262&amp;40,'[1]apoio_cód catmas'!$A$1:$G$233,4,FALSE),VLOOKUP(F262&amp;H262,'[1]apoio_cód catmas'!$A$1:$G$233,4,FALSE))</f>
        <v>DIGITADOR - 30H OU 36H</v>
      </c>
      <c r="H262" s="36">
        <v>30</v>
      </c>
      <c r="I262" s="37">
        <v>0.04</v>
      </c>
      <c r="J262" s="38" t="s">
        <v>46</v>
      </c>
      <c r="K262" s="39">
        <v>4</v>
      </c>
      <c r="L262" s="39">
        <f t="shared" si="113"/>
        <v>240</v>
      </c>
      <c r="M262" s="40">
        <f>VLOOKUP(D262,[1]apoio_Preços_MGS!$A$6:$AN$238,18,FALSE)</f>
        <v>1777.4186213779815</v>
      </c>
      <c r="N262" s="40">
        <f>VLOOKUP(D262,[1]apoio_Preços_MGS!$A$6:$AN$238,19,FALSE)</f>
        <v>0</v>
      </c>
      <c r="O262" s="40">
        <f>VLOOKUP(D262,[1]apoio_Preços_MGS!$A$6:$AN$238,20,FALSE)</f>
        <v>0</v>
      </c>
      <c r="P262" s="40">
        <f>VLOOKUP(D262,[1]apoio_Preços_MGS!$A$6:$AN$238,21,FALSE)</f>
        <v>0</v>
      </c>
      <c r="Q262" s="40">
        <f>VLOOKUP(D262,[1]apoio_Preços_MGS!$A$6:$AN$238,22,FALSE)</f>
        <v>0</v>
      </c>
      <c r="R262" s="40">
        <f>VLOOKUP(D262,[1]apoio_Preços_MGS!$A$6:$AN$238,23,FALSE)</f>
        <v>0</v>
      </c>
      <c r="S262" s="40">
        <f>VLOOKUP(D262,[1]apoio_Preços_MGS!$A$6:$AN$238,24,FALSE)</f>
        <v>0</v>
      </c>
      <c r="T262" s="40">
        <f>VLOOKUP(D262,[1]apoio_Preços_MGS!$A$6:$AN$238,25,FALSE)</f>
        <v>0</v>
      </c>
      <c r="U262" s="40">
        <f t="shared" si="107"/>
        <v>1777.4186213779815</v>
      </c>
      <c r="V262" s="41">
        <f>VLOOKUP(D262,[1]apoio_Preços_MGS!$A$6:$AN$238,27,FALSE)</f>
        <v>0.81799999999999995</v>
      </c>
      <c r="W262" s="40">
        <f t="shared" si="108"/>
        <v>1453.9284322871888</v>
      </c>
      <c r="X262" s="40">
        <f>VLOOKUP(D262,[1]apoio_Preços_MGS!$A$6:$AN$238,29,FALSE)</f>
        <v>48.37</v>
      </c>
      <c r="Y262" s="40">
        <f>VLOOKUP(D262,[1]apoio_Preços_MGS!$A$6:$AN$238,30,FALSE)</f>
        <v>0</v>
      </c>
      <c r="Z262" s="40">
        <f t="shared" si="116"/>
        <v>48.37</v>
      </c>
      <c r="AA262" s="40">
        <f>VLOOKUP(D262,[1]apoio_Preços_MGS!$A$6:$AN$238,32,FALSE)</f>
        <v>3.4126437530457241</v>
      </c>
      <c r="AB262" s="40">
        <f>VLOOKUP(D262,[1]apoio_Preços_MGS!$A$6:$AN$238,33,FALSE)</f>
        <v>139.53012477718357</v>
      </c>
      <c r="AC262" s="41">
        <f>VLOOKUP(D262,[1]apoio_Preços_MGS!$A$6:$AN$238,34,FALSE)</f>
        <v>0</v>
      </c>
      <c r="AD262" s="40">
        <f>(U262+W262+Z262+AB262+AA262+VLOOKUP(C262,[1]apoio_Prec_Folha!$A:$S,7,FALSE))*AC262</f>
        <v>0</v>
      </c>
      <c r="AE262" s="42">
        <f>VLOOKUP(D262,[1]apoio_Preços_MGS!$A$6:$AN$238,36,FALSE)</f>
        <v>7.0000000000000007E-2</v>
      </c>
      <c r="AF262" s="40">
        <f>(U262+W262+Z262+AB262+AD262+AA262+VLOOKUP(C262,[1]apoio_Prec_Folha!$A:$S,7,FALSE))*AE262</f>
        <v>277.51530323995257</v>
      </c>
      <c r="AG262" s="40">
        <f t="shared" si="117"/>
        <v>3700.17</v>
      </c>
      <c r="AH262" s="43">
        <f t="shared" si="118"/>
        <v>4265.33</v>
      </c>
      <c r="AI262" s="43">
        <f t="shared" si="119"/>
        <v>17061.32</v>
      </c>
      <c r="AJ262" s="43">
        <f t="shared" si="120"/>
        <v>1023679.2</v>
      </c>
      <c r="AK262" s="44">
        <f>VLOOKUP(D262,[1]apoio_Preços_MGS!$A$6:$AN$238,39,FALSE)</f>
        <v>136.36363636363637</v>
      </c>
      <c r="AL262" s="44">
        <f>IF(J262="demais municípios",VLOOKUP(D262,[1]apoio_Preços_MGS!$A$6:$AN$238,39,FALSE),0)</f>
        <v>136.36363636363637</v>
      </c>
      <c r="AM262" s="44">
        <v>0</v>
      </c>
      <c r="AN262" s="45">
        <f t="shared" si="125"/>
        <v>545.4545454545455</v>
      </c>
      <c r="AO262" s="44">
        <f>VLOOKUP(D262,[1]apoio_Preços_MGS!$A$6:$AN$238,40,FALSE)</f>
        <v>541.84</v>
      </c>
      <c r="AP262" s="44">
        <f>IF(J262="demais municípios",VLOOKUP(D262,[1]apoio_Preços_MGS!$A$6:$AN$238,40,FALSE),0)</f>
        <v>541.84</v>
      </c>
      <c r="AQ262" s="44">
        <v>0</v>
      </c>
      <c r="AR262" s="45">
        <f t="shared" si="126"/>
        <v>2167.36</v>
      </c>
      <c r="AS262" s="45">
        <f t="shared" si="127"/>
        <v>2712.8145454545456</v>
      </c>
      <c r="AT262" s="45">
        <f t="shared" si="128"/>
        <v>162768.87272727274</v>
      </c>
      <c r="AU262" s="62"/>
      <c r="AV262" s="46"/>
      <c r="AW262" s="47"/>
      <c r="AX262" s="48"/>
      <c r="AY262" s="49"/>
      <c r="BA262" s="48"/>
    </row>
    <row r="263" spans="1:53" ht="19.5" customHeight="1" x14ac:dyDescent="0.25">
      <c r="A263" s="33" t="str">
        <f t="shared" si="123"/>
        <v>63347300,05</v>
      </c>
      <c r="B263" s="33" t="str">
        <f t="shared" si="124"/>
        <v>820,05</v>
      </c>
      <c r="C263" s="34" t="str">
        <f>VLOOKUP(D263,[1]apoio_Preços_MGS!$A$6:$B$238,2,FALSE)</f>
        <v>DIGITADOR</v>
      </c>
      <c r="D263" s="35">
        <v>82</v>
      </c>
      <c r="E263" s="33" t="str">
        <f>VLOOKUP(D263,[1]apoio_Preços_MGS!$A$6:$F$238,6,FALSE)</f>
        <v>DIGITADOR - DIARISTA DIURNO - 30H</v>
      </c>
      <c r="F263" s="36">
        <f>IFERROR(VLOOKUP(D263,'[1]apoio_cód catmas'!$B$2:$C$863,2,FALSE),0)</f>
        <v>63347</v>
      </c>
      <c r="G263" s="33" t="str">
        <f>IF(H263="N/A",VLOOKUP(F263&amp;40,'[1]apoio_cód catmas'!$A$1:$G$233,4,FALSE),VLOOKUP(F263&amp;H263,'[1]apoio_cód catmas'!$A$1:$G$233,4,FALSE))</f>
        <v>DIGITADOR - 30H OU 36H</v>
      </c>
      <c r="H263" s="36">
        <v>30</v>
      </c>
      <c r="I263" s="37">
        <v>0.05</v>
      </c>
      <c r="J263" s="38" t="s">
        <v>47</v>
      </c>
      <c r="K263" s="39">
        <v>32</v>
      </c>
      <c r="L263" s="39">
        <f t="shared" si="113"/>
        <v>1920</v>
      </c>
      <c r="M263" s="40">
        <f>VLOOKUP(D263,[1]apoio_Preços_MGS!$A$6:$AN$238,18,FALSE)</f>
        <v>1777.4186213779815</v>
      </c>
      <c r="N263" s="40">
        <f>VLOOKUP(D263,[1]apoio_Preços_MGS!$A$6:$AN$238,19,FALSE)</f>
        <v>0</v>
      </c>
      <c r="O263" s="40">
        <f>VLOOKUP(D263,[1]apoio_Preços_MGS!$A$6:$AN$238,20,FALSE)</f>
        <v>0</v>
      </c>
      <c r="P263" s="40">
        <f>VLOOKUP(D263,[1]apoio_Preços_MGS!$A$6:$AN$238,21,FALSE)</f>
        <v>0</v>
      </c>
      <c r="Q263" s="40">
        <f>VLOOKUP(D263,[1]apoio_Preços_MGS!$A$6:$AN$238,22,FALSE)</f>
        <v>0</v>
      </c>
      <c r="R263" s="40">
        <f>VLOOKUP(D263,[1]apoio_Preços_MGS!$A$6:$AN$238,23,FALSE)</f>
        <v>0</v>
      </c>
      <c r="S263" s="40">
        <f>VLOOKUP(D263,[1]apoio_Preços_MGS!$A$6:$AN$238,24,FALSE)</f>
        <v>0</v>
      </c>
      <c r="T263" s="40">
        <f>VLOOKUP(D263,[1]apoio_Preços_MGS!$A$6:$AN$238,25,FALSE)</f>
        <v>0</v>
      </c>
      <c r="U263" s="40">
        <f t="shared" si="107"/>
        <v>1777.4186213779815</v>
      </c>
      <c r="V263" s="41">
        <f>VLOOKUP(D263,[1]apoio_Preços_MGS!$A$6:$AN$238,27,FALSE)</f>
        <v>0.81799999999999995</v>
      </c>
      <c r="W263" s="40">
        <f t="shared" si="108"/>
        <v>1453.9284322871888</v>
      </c>
      <c r="X263" s="40">
        <f>VLOOKUP(D263,[1]apoio_Preços_MGS!$A$6:$AN$238,29,FALSE)</f>
        <v>48.37</v>
      </c>
      <c r="Y263" s="40">
        <f>VLOOKUP(D263,[1]apoio_Preços_MGS!$A$6:$AN$238,30,FALSE)</f>
        <v>0</v>
      </c>
      <c r="Z263" s="40">
        <f t="shared" si="116"/>
        <v>48.37</v>
      </c>
      <c r="AA263" s="40">
        <f>VLOOKUP(D263,[1]apoio_Preços_MGS!$A$6:$AN$238,32,FALSE)</f>
        <v>3.4126437530457241</v>
      </c>
      <c r="AB263" s="40">
        <f>VLOOKUP(D263,[1]apoio_Preços_MGS!$A$6:$AN$238,33,FALSE)</f>
        <v>139.53012477718357</v>
      </c>
      <c r="AC263" s="41">
        <f>VLOOKUP(D263,[1]apoio_Preços_MGS!$A$6:$AN$238,34,FALSE)</f>
        <v>0</v>
      </c>
      <c r="AD263" s="40">
        <f>(U263+W263+Z263+AB263+AA263+VLOOKUP(C263,[1]apoio_Prec_Folha!$A:$S,7,FALSE))*AC263</f>
        <v>0</v>
      </c>
      <c r="AE263" s="42">
        <f>VLOOKUP(D263,[1]apoio_Preços_MGS!$A$6:$AN$238,36,FALSE)</f>
        <v>7.0000000000000007E-2</v>
      </c>
      <c r="AF263" s="40">
        <f>(U263+W263+Z263+AB263+AD263+AA263+VLOOKUP(C263,[1]apoio_Prec_Folha!$A:$S,7,FALSE))*AE263</f>
        <v>277.51530323995257</v>
      </c>
      <c r="AG263" s="40">
        <f t="shared" si="117"/>
        <v>3700.17</v>
      </c>
      <c r="AH263" s="43">
        <f t="shared" si="118"/>
        <v>4315.0600000000004</v>
      </c>
      <c r="AI263" s="43">
        <f t="shared" si="119"/>
        <v>138081.92000000001</v>
      </c>
      <c r="AJ263" s="43">
        <f t="shared" si="120"/>
        <v>8284915.2000000011</v>
      </c>
      <c r="AK263" s="44">
        <f>VLOOKUP(D263,[1]apoio_Preços_MGS!$A$6:$AN$238,39,FALSE)</f>
        <v>136.36363636363637</v>
      </c>
      <c r="AL263" s="44">
        <f>IF(J263="demais municípios",VLOOKUP(D263,[1]apoio_Preços_MGS!$A$6:$AN$238,39,FALSE),0)</f>
        <v>0</v>
      </c>
      <c r="AM263" s="44">
        <f>TRUNC(ROUND(($I263)/(1-($I263)),5)*VLOOKUP(D263,[1]apoio_Preços_MGS!$A$6:$AN$238,39,FALSE)+VLOOKUP(D263,[1]apoio_Preços_MGS!$A$6:$AN$238,39,FALSE),2)</f>
        <v>143.54</v>
      </c>
      <c r="AN263" s="45">
        <f t="shared" ref="AN263:AN318" si="129">AM263*K263</f>
        <v>4593.28</v>
      </c>
      <c r="AO263" s="44">
        <f>VLOOKUP(D263,[1]apoio_Preços_MGS!$A$6:$AN$238,40,FALSE)</f>
        <v>541.84</v>
      </c>
      <c r="AP263" s="44">
        <f>IF(J263="demais municípios",VLOOKUP(D263,[1]apoio_Preços_MGS!$A$6:$AN$238,40,FALSE),0)</f>
        <v>0</v>
      </c>
      <c r="AQ263" s="44">
        <f>TRUNC(ROUND(($I263)/(1-($I263)),5)*VLOOKUP(D263,[1]apoio_Preços_MGS!$A$6:$AN$238,40,FALSE)+VLOOKUP(D263,[1]apoio_Preços_MGS!$A$6:$AN$238,40,FALSE),2)</f>
        <v>570.35</v>
      </c>
      <c r="AR263" s="45">
        <f t="shared" ref="AR263:AR318" si="130">AQ263*K263</f>
        <v>18251.2</v>
      </c>
      <c r="AS263" s="45">
        <f t="shared" si="127"/>
        <v>22844.48</v>
      </c>
      <c r="AT263" s="45">
        <f t="shared" si="128"/>
        <v>1370668.8</v>
      </c>
      <c r="AU263" s="62"/>
      <c r="AV263" s="46"/>
      <c r="AW263" s="47"/>
      <c r="AX263" s="48"/>
      <c r="AY263" s="49"/>
      <c r="BA263" s="48"/>
    </row>
    <row r="264" spans="1:53" ht="19.5" customHeight="1" x14ac:dyDescent="0.25">
      <c r="A264" s="33" t="str">
        <f t="shared" si="123"/>
        <v>63347360,02</v>
      </c>
      <c r="B264" s="33" t="str">
        <f t="shared" si="124"/>
        <v>810,02</v>
      </c>
      <c r="C264" s="34" t="str">
        <f>VLOOKUP(D264,[1]apoio_Preços_MGS!$A$6:$B$238,2,FALSE)</f>
        <v>DIGITADOR</v>
      </c>
      <c r="D264" s="35">
        <v>81</v>
      </c>
      <c r="E264" s="33" t="str">
        <f>VLOOKUP(D264,[1]apoio_Preços_MGS!$A$6:$F$238,6,FALSE)</f>
        <v>DIGITADOR - DIARISTA DIURNO - 36H</v>
      </c>
      <c r="F264" s="36">
        <f>IFERROR(VLOOKUP(D264,'[1]apoio_cód catmas'!$B$2:$C$863,2,FALSE),0)</f>
        <v>63347</v>
      </c>
      <c r="G264" s="33" t="str">
        <f>IF(H264="N/A",VLOOKUP(F264&amp;40,'[1]apoio_cód catmas'!$A$1:$G$233,4,FALSE),VLOOKUP(F264&amp;H264,'[1]apoio_cód catmas'!$A$1:$G$233,4,FALSE))</f>
        <v>DIGITADOR - 30H OU 36H</v>
      </c>
      <c r="H264" s="36">
        <v>36</v>
      </c>
      <c r="I264" s="37">
        <v>0.02</v>
      </c>
      <c r="J264" s="38" t="s">
        <v>46</v>
      </c>
      <c r="K264" s="39">
        <v>86</v>
      </c>
      <c r="L264" s="39">
        <f t="shared" si="113"/>
        <v>5160</v>
      </c>
      <c r="M264" s="40">
        <f>VLOOKUP(D264,[1]apoio_Preços_MGS!$A$6:$AN$238,18,FALSE)</f>
        <v>2132.9023456535779</v>
      </c>
      <c r="N264" s="40">
        <f>VLOOKUP(D264,[1]apoio_Preços_MGS!$A$6:$AN$238,19,FALSE)</f>
        <v>0</v>
      </c>
      <c r="O264" s="40">
        <f>VLOOKUP(D264,[1]apoio_Preços_MGS!$A$6:$AN$238,20,FALSE)</f>
        <v>0</v>
      </c>
      <c r="P264" s="40">
        <f>VLOOKUP(D264,[1]apoio_Preços_MGS!$A$6:$AN$238,21,FALSE)</f>
        <v>0</v>
      </c>
      <c r="Q264" s="40">
        <f>VLOOKUP(D264,[1]apoio_Preços_MGS!$A$6:$AN$238,22,FALSE)</f>
        <v>0</v>
      </c>
      <c r="R264" s="40">
        <f>VLOOKUP(D264,[1]apoio_Preços_MGS!$A$6:$AN$238,23,FALSE)</f>
        <v>0</v>
      </c>
      <c r="S264" s="40">
        <f>VLOOKUP(D264,[1]apoio_Preços_MGS!$A$6:$AN$238,24,FALSE)</f>
        <v>0</v>
      </c>
      <c r="T264" s="40">
        <f>VLOOKUP(D264,[1]apoio_Preços_MGS!$A$6:$AN$238,25,FALSE)</f>
        <v>0</v>
      </c>
      <c r="U264" s="40">
        <f t="shared" si="107"/>
        <v>2132.9023456535779</v>
      </c>
      <c r="V264" s="41">
        <f>VLOOKUP(D264,[1]apoio_Preços_MGS!$A$6:$AN$238,27,FALSE)</f>
        <v>0.81799999999999995</v>
      </c>
      <c r="W264" s="40">
        <f t="shared" si="108"/>
        <v>1744.7141187446266</v>
      </c>
      <c r="X264" s="40">
        <f>VLOOKUP(D264,[1]apoio_Preços_MGS!$A$6:$AN$238,29,FALSE)</f>
        <v>48.37</v>
      </c>
      <c r="Y264" s="40">
        <f>VLOOKUP(D264,[1]apoio_Preços_MGS!$A$6:$AN$238,30,FALSE)</f>
        <v>0</v>
      </c>
      <c r="Z264" s="40">
        <f t="shared" si="116"/>
        <v>48.37</v>
      </c>
      <c r="AA264" s="40">
        <f>VLOOKUP(D264,[1]apoio_Preços_MGS!$A$6:$AN$238,32,FALSE)</f>
        <v>4.0951725036548687</v>
      </c>
      <c r="AB264" s="40">
        <f>VLOOKUP(D264,[1]apoio_Preços_MGS!$A$6:$AN$238,33,FALSE)</f>
        <v>127.31948306595362</v>
      </c>
      <c r="AC264" s="41">
        <f>VLOOKUP(D264,[1]apoio_Preços_MGS!$A$6:$AN$238,34,FALSE)</f>
        <v>0</v>
      </c>
      <c r="AD264" s="40">
        <f>(U264+W264+Z264+AB264+AA264+VLOOKUP(C264,[1]apoio_Prec_Folha!$A:$S,7,FALSE))*AC264</f>
        <v>0</v>
      </c>
      <c r="AE264" s="42">
        <f>VLOOKUP(D264,[1]apoio_Preços_MGS!$A$6:$AN$238,36,FALSE)</f>
        <v>7.0000000000000007E-2</v>
      </c>
      <c r="AF264" s="40">
        <f>(U264+W264+Z264+AB264+AD264+AA264+VLOOKUP(C264,[1]apoio_Prec_Folha!$A:$S,7,FALSE))*AE264</f>
        <v>321.94719408402153</v>
      </c>
      <c r="AG264" s="40">
        <f t="shared" si="117"/>
        <v>4379.34</v>
      </c>
      <c r="AH264" s="43">
        <f t="shared" si="118"/>
        <v>4934.46</v>
      </c>
      <c r="AI264" s="43">
        <f t="shared" si="119"/>
        <v>424363.56</v>
      </c>
      <c r="AJ264" s="43">
        <f t="shared" si="120"/>
        <v>25461813.600000001</v>
      </c>
      <c r="AK264" s="44">
        <f>VLOOKUP(D264,[1]apoio_Preços_MGS!$A$6:$AN$238,39,FALSE)</f>
        <v>163.63636363636365</v>
      </c>
      <c r="AL264" s="44">
        <f>IF(J264="demais municípios",VLOOKUP(D264,[1]apoio_Preços_MGS!$A$6:$AN$238,39,FALSE),0)</f>
        <v>163.63636363636365</v>
      </c>
      <c r="AM264" s="44">
        <v>0</v>
      </c>
      <c r="AN264" s="45">
        <f t="shared" ref="AN264:AN267" si="131">AK264*K264</f>
        <v>14072.727272727274</v>
      </c>
      <c r="AO264" s="44">
        <f>VLOOKUP(D264,[1]apoio_Preços_MGS!$A$6:$AN$238,40,FALSE)</f>
        <v>640.36</v>
      </c>
      <c r="AP264" s="44">
        <f>IF(J264="demais municípios",VLOOKUP(D264,[1]apoio_Preços_MGS!$A$6:$AN$238,40,FALSE),0)</f>
        <v>640.36</v>
      </c>
      <c r="AQ264" s="44">
        <v>0</v>
      </c>
      <c r="AR264" s="45">
        <f t="shared" ref="AR264:AR267" si="132">AO264*K264</f>
        <v>55070.96</v>
      </c>
      <c r="AS264" s="45">
        <f t="shared" si="127"/>
        <v>69143.687272727271</v>
      </c>
      <c r="AT264" s="45">
        <f t="shared" si="128"/>
        <v>4148621.2363636363</v>
      </c>
      <c r="AU264" s="62"/>
      <c r="AV264" s="46"/>
      <c r="AW264" s="47"/>
      <c r="AX264" s="48"/>
      <c r="AY264" s="49"/>
      <c r="BA264" s="48"/>
    </row>
    <row r="265" spans="1:53" ht="19.5" customHeight="1" x14ac:dyDescent="0.25">
      <c r="A265" s="33" t="str">
        <f t="shared" si="123"/>
        <v>63347360,03</v>
      </c>
      <c r="B265" s="33" t="str">
        <f t="shared" si="124"/>
        <v>810,03</v>
      </c>
      <c r="C265" s="34" t="str">
        <f>VLOOKUP(D265,[1]apoio_Preços_MGS!$A$6:$B$238,2,FALSE)</f>
        <v>DIGITADOR</v>
      </c>
      <c r="D265" s="35">
        <v>81</v>
      </c>
      <c r="E265" s="33" t="str">
        <f>VLOOKUP(D265,[1]apoio_Preços_MGS!$A$6:$F$238,6,FALSE)</f>
        <v>DIGITADOR - DIARISTA DIURNO - 36H</v>
      </c>
      <c r="F265" s="36">
        <f>IFERROR(VLOOKUP(D265,'[1]apoio_cód catmas'!$B$2:$C$863,2,FALSE),0)</f>
        <v>63347</v>
      </c>
      <c r="G265" s="33" t="str">
        <f>IF(H265="N/A",VLOOKUP(F265&amp;40,'[1]apoio_cód catmas'!$A$1:$G$233,4,FALSE),VLOOKUP(F265&amp;H265,'[1]apoio_cód catmas'!$A$1:$G$233,4,FALSE))</f>
        <v>DIGITADOR - 30H OU 36H</v>
      </c>
      <c r="H265" s="36">
        <v>36</v>
      </c>
      <c r="I265" s="37">
        <v>0.03</v>
      </c>
      <c r="J265" s="38" t="s">
        <v>46</v>
      </c>
      <c r="K265" s="39">
        <v>66</v>
      </c>
      <c r="L265" s="39">
        <f t="shared" si="113"/>
        <v>3960</v>
      </c>
      <c r="M265" s="40">
        <f>VLOOKUP(D265,[1]apoio_Preços_MGS!$A$6:$AN$238,18,FALSE)</f>
        <v>2132.9023456535779</v>
      </c>
      <c r="N265" s="40">
        <f>VLOOKUP(D265,[1]apoio_Preços_MGS!$A$6:$AN$238,19,FALSE)</f>
        <v>0</v>
      </c>
      <c r="O265" s="40">
        <f>VLOOKUP(D265,[1]apoio_Preços_MGS!$A$6:$AN$238,20,FALSE)</f>
        <v>0</v>
      </c>
      <c r="P265" s="40">
        <f>VLOOKUP(D265,[1]apoio_Preços_MGS!$A$6:$AN$238,21,FALSE)</f>
        <v>0</v>
      </c>
      <c r="Q265" s="40">
        <f>VLOOKUP(D265,[1]apoio_Preços_MGS!$A$6:$AN$238,22,FALSE)</f>
        <v>0</v>
      </c>
      <c r="R265" s="40">
        <f>VLOOKUP(D265,[1]apoio_Preços_MGS!$A$6:$AN$238,23,FALSE)</f>
        <v>0</v>
      </c>
      <c r="S265" s="40">
        <f>VLOOKUP(D265,[1]apoio_Preços_MGS!$A$6:$AN$238,24,FALSE)</f>
        <v>0</v>
      </c>
      <c r="T265" s="40">
        <f>VLOOKUP(D265,[1]apoio_Preços_MGS!$A$6:$AN$238,25,FALSE)</f>
        <v>0</v>
      </c>
      <c r="U265" s="40">
        <f t="shared" si="107"/>
        <v>2132.9023456535779</v>
      </c>
      <c r="V265" s="41">
        <f>VLOOKUP(D265,[1]apoio_Preços_MGS!$A$6:$AN$238,27,FALSE)</f>
        <v>0.81799999999999995</v>
      </c>
      <c r="W265" s="40">
        <f t="shared" si="108"/>
        <v>1744.7141187446266</v>
      </c>
      <c r="X265" s="40">
        <f>VLOOKUP(D265,[1]apoio_Preços_MGS!$A$6:$AN$238,29,FALSE)</f>
        <v>48.37</v>
      </c>
      <c r="Y265" s="40">
        <f>VLOOKUP(D265,[1]apoio_Preços_MGS!$A$6:$AN$238,30,FALSE)</f>
        <v>0</v>
      </c>
      <c r="Z265" s="40">
        <f t="shared" si="116"/>
        <v>48.37</v>
      </c>
      <c r="AA265" s="40">
        <f>VLOOKUP(D265,[1]apoio_Preços_MGS!$A$6:$AN$238,32,FALSE)</f>
        <v>4.0951725036548687</v>
      </c>
      <c r="AB265" s="40">
        <f>VLOOKUP(D265,[1]apoio_Preços_MGS!$A$6:$AN$238,33,FALSE)</f>
        <v>127.31948306595362</v>
      </c>
      <c r="AC265" s="41">
        <f>VLOOKUP(D265,[1]apoio_Preços_MGS!$A$6:$AN$238,34,FALSE)</f>
        <v>0</v>
      </c>
      <c r="AD265" s="40">
        <f>(U265+W265+Z265+AB265+AA265+VLOOKUP(C265,[1]apoio_Prec_Folha!$A:$S,7,FALSE))*AC265</f>
        <v>0</v>
      </c>
      <c r="AE265" s="42">
        <f>VLOOKUP(D265,[1]apoio_Preços_MGS!$A$6:$AN$238,36,FALSE)</f>
        <v>7.0000000000000007E-2</v>
      </c>
      <c r="AF265" s="40">
        <f>(U265+W265+Z265+AB265+AD265+AA265+VLOOKUP(C265,[1]apoio_Prec_Folha!$A:$S,7,FALSE))*AE265</f>
        <v>321.94719408402153</v>
      </c>
      <c r="AG265" s="40">
        <f t="shared" si="117"/>
        <v>4379.34</v>
      </c>
      <c r="AH265" s="43">
        <f t="shared" si="118"/>
        <v>4990.6899999999996</v>
      </c>
      <c r="AI265" s="43">
        <f t="shared" si="119"/>
        <v>329385.53999999998</v>
      </c>
      <c r="AJ265" s="43">
        <f t="shared" si="120"/>
        <v>19763132.399999999</v>
      </c>
      <c r="AK265" s="44">
        <f>VLOOKUP(D265,[1]apoio_Preços_MGS!$A$6:$AN$238,39,FALSE)</f>
        <v>163.63636363636365</v>
      </c>
      <c r="AL265" s="44">
        <f>IF(J265="demais municípios",VLOOKUP(D265,[1]apoio_Preços_MGS!$A$6:$AN$238,39,FALSE),0)</f>
        <v>163.63636363636365</v>
      </c>
      <c r="AM265" s="44">
        <v>0</v>
      </c>
      <c r="AN265" s="45">
        <f t="shared" si="131"/>
        <v>10800.000000000002</v>
      </c>
      <c r="AO265" s="44">
        <f>VLOOKUP(D265,[1]apoio_Preços_MGS!$A$6:$AN$238,40,FALSE)</f>
        <v>640.36</v>
      </c>
      <c r="AP265" s="44">
        <f>IF(J265="demais municípios",VLOOKUP(D265,[1]apoio_Preços_MGS!$A$6:$AN$238,40,FALSE),0)</f>
        <v>640.36</v>
      </c>
      <c r="AQ265" s="44">
        <v>0</v>
      </c>
      <c r="AR265" s="45">
        <f t="shared" si="132"/>
        <v>42263.76</v>
      </c>
      <c r="AS265" s="45">
        <f t="shared" si="127"/>
        <v>53063.76</v>
      </c>
      <c r="AT265" s="45">
        <f t="shared" si="128"/>
        <v>3183825.6</v>
      </c>
      <c r="AU265" s="62"/>
      <c r="AV265" s="46"/>
      <c r="AW265" s="47"/>
      <c r="AX265" s="48"/>
      <c r="AY265" s="49"/>
      <c r="BA265" s="48"/>
    </row>
    <row r="266" spans="1:53" ht="19.5" customHeight="1" x14ac:dyDescent="0.25">
      <c r="A266" s="33" t="str">
        <f t="shared" si="123"/>
        <v>63347360,035</v>
      </c>
      <c r="B266" s="33" t="str">
        <f t="shared" si="124"/>
        <v>810,035</v>
      </c>
      <c r="C266" s="34" t="str">
        <f>VLOOKUP(D266,[1]apoio_Preços_MGS!$A$6:$B$238,2,FALSE)</f>
        <v>DIGITADOR</v>
      </c>
      <c r="D266" s="35">
        <v>81</v>
      </c>
      <c r="E266" s="33" t="str">
        <f>VLOOKUP(D266,[1]apoio_Preços_MGS!$A$6:$F$238,6,FALSE)</f>
        <v>DIGITADOR - DIARISTA DIURNO - 36H</v>
      </c>
      <c r="F266" s="36">
        <f>IFERROR(VLOOKUP(D266,'[1]apoio_cód catmas'!$B$2:$C$863,2,FALSE),0)</f>
        <v>63347</v>
      </c>
      <c r="G266" s="33" t="str">
        <f>IF(H266="N/A",VLOOKUP(F266&amp;40,'[1]apoio_cód catmas'!$A$1:$G$233,4,FALSE),VLOOKUP(F266&amp;H266,'[1]apoio_cód catmas'!$A$1:$G$233,4,FALSE))</f>
        <v>DIGITADOR - 30H OU 36H</v>
      </c>
      <c r="H266" s="36">
        <v>36</v>
      </c>
      <c r="I266" s="37">
        <v>3.5000000000000003E-2</v>
      </c>
      <c r="J266" s="38" t="s">
        <v>46</v>
      </c>
      <c r="K266" s="39">
        <v>20</v>
      </c>
      <c r="L266" s="39">
        <f t="shared" si="113"/>
        <v>1200</v>
      </c>
      <c r="M266" s="40">
        <f>VLOOKUP(D266,[1]apoio_Preços_MGS!$A$6:$AN$238,18,FALSE)</f>
        <v>2132.9023456535779</v>
      </c>
      <c r="N266" s="40">
        <f>VLOOKUP(D266,[1]apoio_Preços_MGS!$A$6:$AN$238,19,FALSE)</f>
        <v>0</v>
      </c>
      <c r="O266" s="40">
        <f>VLOOKUP(D266,[1]apoio_Preços_MGS!$A$6:$AN$238,20,FALSE)</f>
        <v>0</v>
      </c>
      <c r="P266" s="40">
        <f>VLOOKUP(D266,[1]apoio_Preços_MGS!$A$6:$AN$238,21,FALSE)</f>
        <v>0</v>
      </c>
      <c r="Q266" s="40">
        <f>VLOOKUP(D266,[1]apoio_Preços_MGS!$A$6:$AN$238,22,FALSE)</f>
        <v>0</v>
      </c>
      <c r="R266" s="40">
        <f>VLOOKUP(D266,[1]apoio_Preços_MGS!$A$6:$AN$238,23,FALSE)</f>
        <v>0</v>
      </c>
      <c r="S266" s="40">
        <f>VLOOKUP(D266,[1]apoio_Preços_MGS!$A$6:$AN$238,24,FALSE)</f>
        <v>0</v>
      </c>
      <c r="T266" s="40">
        <f>VLOOKUP(D266,[1]apoio_Preços_MGS!$A$6:$AN$238,25,FALSE)</f>
        <v>0</v>
      </c>
      <c r="U266" s="40">
        <f t="shared" si="107"/>
        <v>2132.9023456535779</v>
      </c>
      <c r="V266" s="41">
        <f>VLOOKUP(D266,[1]apoio_Preços_MGS!$A$6:$AN$238,27,FALSE)</f>
        <v>0.81799999999999995</v>
      </c>
      <c r="W266" s="40">
        <f t="shared" si="108"/>
        <v>1744.7141187446266</v>
      </c>
      <c r="X266" s="40">
        <f>VLOOKUP(D266,[1]apoio_Preços_MGS!$A$6:$AN$238,29,FALSE)</f>
        <v>48.37</v>
      </c>
      <c r="Y266" s="40">
        <f>VLOOKUP(D266,[1]apoio_Preços_MGS!$A$6:$AN$238,30,FALSE)</f>
        <v>0</v>
      </c>
      <c r="Z266" s="40">
        <f t="shared" si="116"/>
        <v>48.37</v>
      </c>
      <c r="AA266" s="40">
        <f>VLOOKUP(D266,[1]apoio_Preços_MGS!$A$6:$AN$238,32,FALSE)</f>
        <v>4.0951725036548687</v>
      </c>
      <c r="AB266" s="40">
        <f>VLOOKUP(D266,[1]apoio_Preços_MGS!$A$6:$AN$238,33,FALSE)</f>
        <v>127.31948306595362</v>
      </c>
      <c r="AC266" s="41">
        <f>VLOOKUP(D266,[1]apoio_Preços_MGS!$A$6:$AN$238,34,FALSE)</f>
        <v>0</v>
      </c>
      <c r="AD266" s="40">
        <f>(U266+W266+Z266+AB266+AA266+VLOOKUP(C266,[1]apoio_Prec_Folha!$A:$S,7,FALSE))*AC266</f>
        <v>0</v>
      </c>
      <c r="AE266" s="42">
        <f>VLOOKUP(D266,[1]apoio_Preços_MGS!$A$6:$AN$238,36,FALSE)</f>
        <v>7.0000000000000007E-2</v>
      </c>
      <c r="AF266" s="40">
        <f>(U266+W266+Z266+AB266+AD266+AA266+VLOOKUP(C266,[1]apoio_Prec_Folha!$A:$S,7,FALSE))*AE266</f>
        <v>321.94719408402153</v>
      </c>
      <c r="AG266" s="40">
        <f t="shared" si="117"/>
        <v>4379.34</v>
      </c>
      <c r="AH266" s="43">
        <f t="shared" si="118"/>
        <v>5019.29</v>
      </c>
      <c r="AI266" s="43">
        <f t="shared" si="119"/>
        <v>100385.8</v>
      </c>
      <c r="AJ266" s="43">
        <f t="shared" si="120"/>
        <v>6023148</v>
      </c>
      <c r="AK266" s="44">
        <f>VLOOKUP(D266,[1]apoio_Preços_MGS!$A$6:$AN$238,39,FALSE)</f>
        <v>163.63636363636365</v>
      </c>
      <c r="AL266" s="44">
        <f>IF(J266="demais municípios",VLOOKUP(D266,[1]apoio_Preços_MGS!$A$6:$AN$238,39,FALSE),0)</f>
        <v>163.63636363636365</v>
      </c>
      <c r="AM266" s="44">
        <v>0</v>
      </c>
      <c r="AN266" s="45">
        <f t="shared" si="131"/>
        <v>3272.727272727273</v>
      </c>
      <c r="AO266" s="44">
        <f>VLOOKUP(D266,[1]apoio_Preços_MGS!$A$6:$AN$238,40,FALSE)</f>
        <v>640.36</v>
      </c>
      <c r="AP266" s="44">
        <f>IF(J266="demais municípios",VLOOKUP(D266,[1]apoio_Preços_MGS!$A$6:$AN$238,40,FALSE),0)</f>
        <v>640.36</v>
      </c>
      <c r="AQ266" s="44">
        <v>0</v>
      </c>
      <c r="AR266" s="45">
        <f t="shared" si="132"/>
        <v>12807.2</v>
      </c>
      <c r="AS266" s="45">
        <f t="shared" si="127"/>
        <v>16079.927272727273</v>
      </c>
      <c r="AT266" s="45">
        <f t="shared" si="128"/>
        <v>964795.63636363635</v>
      </c>
      <c r="AU266" s="62"/>
      <c r="AV266" s="46"/>
      <c r="AW266" s="47"/>
      <c r="AX266" s="48"/>
      <c r="AY266" s="49"/>
      <c r="BA266" s="48"/>
    </row>
    <row r="267" spans="1:53" ht="19.5" customHeight="1" x14ac:dyDescent="0.25">
      <c r="A267" s="33" t="str">
        <f t="shared" si="123"/>
        <v>63347360,05</v>
      </c>
      <c r="B267" s="33" t="str">
        <f t="shared" si="124"/>
        <v>810,05</v>
      </c>
      <c r="C267" s="34" t="str">
        <f>VLOOKUP(D267,[1]apoio_Preços_MGS!$A$6:$B$238,2,FALSE)</f>
        <v>DIGITADOR</v>
      </c>
      <c r="D267" s="35">
        <v>81</v>
      </c>
      <c r="E267" s="33" t="str">
        <f>VLOOKUP(D267,[1]apoio_Preços_MGS!$A$6:$F$238,6,FALSE)</f>
        <v>DIGITADOR - DIARISTA DIURNO - 36H</v>
      </c>
      <c r="F267" s="36">
        <f>IFERROR(VLOOKUP(D267,'[1]apoio_cód catmas'!$B$2:$C$863,2,FALSE),0)</f>
        <v>63347</v>
      </c>
      <c r="G267" s="33" t="str">
        <f>IF(H267="N/A",VLOOKUP(F267&amp;40,'[1]apoio_cód catmas'!$A$1:$G$233,4,FALSE),VLOOKUP(F267&amp;H267,'[1]apoio_cód catmas'!$A$1:$G$233,4,FALSE))</f>
        <v>DIGITADOR - 30H OU 36H</v>
      </c>
      <c r="H267" s="36">
        <v>36</v>
      </c>
      <c r="I267" s="37">
        <v>0.05</v>
      </c>
      <c r="J267" s="38" t="s">
        <v>46</v>
      </c>
      <c r="K267" s="39">
        <f>62-K268</f>
        <v>21</v>
      </c>
      <c r="L267" s="39">
        <f t="shared" si="113"/>
        <v>1260</v>
      </c>
      <c r="M267" s="40">
        <f>VLOOKUP(D267,[1]apoio_Preços_MGS!$A$6:$AN$238,18,FALSE)</f>
        <v>2132.9023456535779</v>
      </c>
      <c r="N267" s="40">
        <f>VLOOKUP(D267,[1]apoio_Preços_MGS!$A$6:$AN$238,19,FALSE)</f>
        <v>0</v>
      </c>
      <c r="O267" s="40">
        <f>VLOOKUP(D267,[1]apoio_Preços_MGS!$A$6:$AN$238,20,FALSE)</f>
        <v>0</v>
      </c>
      <c r="P267" s="40">
        <f>VLOOKUP(D267,[1]apoio_Preços_MGS!$A$6:$AN$238,21,FALSE)</f>
        <v>0</v>
      </c>
      <c r="Q267" s="40">
        <f>VLOOKUP(D267,[1]apoio_Preços_MGS!$A$6:$AN$238,22,FALSE)</f>
        <v>0</v>
      </c>
      <c r="R267" s="40">
        <f>VLOOKUP(D267,[1]apoio_Preços_MGS!$A$6:$AN$238,23,FALSE)</f>
        <v>0</v>
      </c>
      <c r="S267" s="40">
        <f>VLOOKUP(D267,[1]apoio_Preços_MGS!$A$6:$AN$238,24,FALSE)</f>
        <v>0</v>
      </c>
      <c r="T267" s="40">
        <f>VLOOKUP(D267,[1]apoio_Preços_MGS!$A$6:$AN$238,25,FALSE)</f>
        <v>0</v>
      </c>
      <c r="U267" s="40">
        <f t="shared" si="107"/>
        <v>2132.9023456535779</v>
      </c>
      <c r="V267" s="41">
        <f>VLOOKUP(D267,[1]apoio_Preços_MGS!$A$6:$AN$238,27,FALSE)</f>
        <v>0.81799999999999995</v>
      </c>
      <c r="W267" s="40">
        <f t="shared" si="108"/>
        <v>1744.7141187446266</v>
      </c>
      <c r="X267" s="40">
        <f>VLOOKUP(D267,[1]apoio_Preços_MGS!$A$6:$AN$238,29,FALSE)</f>
        <v>48.37</v>
      </c>
      <c r="Y267" s="40">
        <f>VLOOKUP(D267,[1]apoio_Preços_MGS!$A$6:$AN$238,30,FALSE)</f>
        <v>0</v>
      </c>
      <c r="Z267" s="40">
        <f t="shared" si="116"/>
        <v>48.37</v>
      </c>
      <c r="AA267" s="40">
        <f>VLOOKUP(D267,[1]apoio_Preços_MGS!$A$6:$AN$238,32,FALSE)</f>
        <v>4.0951725036548687</v>
      </c>
      <c r="AB267" s="40">
        <f>VLOOKUP(D267,[1]apoio_Preços_MGS!$A$6:$AN$238,33,FALSE)</f>
        <v>127.31948306595362</v>
      </c>
      <c r="AC267" s="41">
        <f>VLOOKUP(D267,[1]apoio_Preços_MGS!$A$6:$AN$238,34,FALSE)</f>
        <v>0</v>
      </c>
      <c r="AD267" s="40">
        <f>(U267+W267+Z267+AB267+AA267+VLOOKUP(C267,[1]apoio_Prec_Folha!$A:$S,7,FALSE))*AC267</f>
        <v>0</v>
      </c>
      <c r="AE267" s="42">
        <f>VLOOKUP(D267,[1]apoio_Preços_MGS!$A$6:$AN$238,36,FALSE)</f>
        <v>7.0000000000000007E-2</v>
      </c>
      <c r="AF267" s="40">
        <f>(U267+W267+Z267+AB267+AD267+AA267+VLOOKUP(C267,[1]apoio_Prec_Folha!$A:$S,7,FALSE))*AE267</f>
        <v>321.94719408402153</v>
      </c>
      <c r="AG267" s="40">
        <f t="shared" si="117"/>
        <v>4379.34</v>
      </c>
      <c r="AH267" s="43">
        <f t="shared" si="118"/>
        <v>5107.09</v>
      </c>
      <c r="AI267" s="43">
        <f t="shared" si="119"/>
        <v>107248.89</v>
      </c>
      <c r="AJ267" s="43">
        <f t="shared" si="120"/>
        <v>6434933.4000000004</v>
      </c>
      <c r="AK267" s="44">
        <f>VLOOKUP(D267,[1]apoio_Preços_MGS!$A$6:$AN$238,39,FALSE)</f>
        <v>163.63636363636365</v>
      </c>
      <c r="AL267" s="44">
        <f>IF(J267="demais municípios",VLOOKUP(D267,[1]apoio_Preços_MGS!$A$6:$AN$238,39,FALSE),0)</f>
        <v>163.63636363636365</v>
      </c>
      <c r="AM267" s="44">
        <v>0</v>
      </c>
      <c r="AN267" s="45">
        <f t="shared" si="131"/>
        <v>3436.3636363636369</v>
      </c>
      <c r="AO267" s="44">
        <f>VLOOKUP(D267,[1]apoio_Preços_MGS!$A$6:$AN$238,40,FALSE)</f>
        <v>640.36</v>
      </c>
      <c r="AP267" s="44">
        <f>IF(J267="demais municípios",VLOOKUP(D267,[1]apoio_Preços_MGS!$A$6:$AN$238,40,FALSE),0)</f>
        <v>640.36</v>
      </c>
      <c r="AQ267" s="44">
        <v>0</v>
      </c>
      <c r="AR267" s="45">
        <f t="shared" si="132"/>
        <v>13447.56</v>
      </c>
      <c r="AS267" s="45">
        <f t="shared" si="127"/>
        <v>16883.923636363637</v>
      </c>
      <c r="AT267" s="45">
        <f t="shared" si="128"/>
        <v>1013035.4181818182</v>
      </c>
      <c r="AU267" s="62"/>
      <c r="AV267" s="46"/>
      <c r="AW267" s="47"/>
      <c r="AX267" s="48"/>
      <c r="AY267" s="49"/>
      <c r="BA267" s="48"/>
    </row>
    <row r="268" spans="1:53" ht="19.5" customHeight="1" x14ac:dyDescent="0.25">
      <c r="A268" s="33" t="str">
        <f t="shared" si="123"/>
        <v>63347360,05</v>
      </c>
      <c r="B268" s="33" t="str">
        <f t="shared" si="124"/>
        <v>810,05</v>
      </c>
      <c r="C268" s="34" t="str">
        <f>VLOOKUP(D268,[1]apoio_Preços_MGS!$A$6:$B$238,2,FALSE)</f>
        <v>DIGITADOR</v>
      </c>
      <c r="D268" s="35">
        <v>81</v>
      </c>
      <c r="E268" s="33" t="str">
        <f>VLOOKUP(D268,[1]apoio_Preços_MGS!$A$6:$F$238,6,FALSE)</f>
        <v>DIGITADOR - DIARISTA DIURNO - 36H</v>
      </c>
      <c r="F268" s="36">
        <f>IFERROR(VLOOKUP(D268,'[1]apoio_cód catmas'!$B$2:$C$863,2,FALSE),0)</f>
        <v>63347</v>
      </c>
      <c r="G268" s="33" t="str">
        <f>IF(H268="N/A",VLOOKUP(F268&amp;40,'[1]apoio_cód catmas'!$A$1:$G$233,4,FALSE),VLOOKUP(F268&amp;H268,'[1]apoio_cód catmas'!$A$1:$G$233,4,FALSE))</f>
        <v>DIGITADOR - 30H OU 36H</v>
      </c>
      <c r="H268" s="36">
        <v>36</v>
      </c>
      <c r="I268" s="37">
        <v>0.05</v>
      </c>
      <c r="J268" s="38" t="s">
        <v>47</v>
      </c>
      <c r="K268" s="39">
        <v>41</v>
      </c>
      <c r="L268" s="39">
        <f t="shared" si="113"/>
        <v>2460</v>
      </c>
      <c r="M268" s="40">
        <f>VLOOKUP(D268,[1]apoio_Preços_MGS!$A$6:$AN$238,18,FALSE)</f>
        <v>2132.9023456535779</v>
      </c>
      <c r="N268" s="40">
        <f>VLOOKUP(D268,[1]apoio_Preços_MGS!$A$6:$AN$238,19,FALSE)</f>
        <v>0</v>
      </c>
      <c r="O268" s="40">
        <f>VLOOKUP(D268,[1]apoio_Preços_MGS!$A$6:$AN$238,20,FALSE)</f>
        <v>0</v>
      </c>
      <c r="P268" s="40">
        <f>VLOOKUP(D268,[1]apoio_Preços_MGS!$A$6:$AN$238,21,FALSE)</f>
        <v>0</v>
      </c>
      <c r="Q268" s="40">
        <f>VLOOKUP(D268,[1]apoio_Preços_MGS!$A$6:$AN$238,22,FALSE)</f>
        <v>0</v>
      </c>
      <c r="R268" s="40">
        <f>VLOOKUP(D268,[1]apoio_Preços_MGS!$A$6:$AN$238,23,FALSE)</f>
        <v>0</v>
      </c>
      <c r="S268" s="40">
        <f>VLOOKUP(D268,[1]apoio_Preços_MGS!$A$6:$AN$238,24,FALSE)</f>
        <v>0</v>
      </c>
      <c r="T268" s="40">
        <f>VLOOKUP(D268,[1]apoio_Preços_MGS!$A$6:$AN$238,25,FALSE)</f>
        <v>0</v>
      </c>
      <c r="U268" s="40">
        <f t="shared" si="107"/>
        <v>2132.9023456535779</v>
      </c>
      <c r="V268" s="41">
        <f>VLOOKUP(D268,[1]apoio_Preços_MGS!$A$6:$AN$238,27,FALSE)</f>
        <v>0.81799999999999995</v>
      </c>
      <c r="W268" s="40">
        <f t="shared" si="108"/>
        <v>1744.7141187446266</v>
      </c>
      <c r="X268" s="40">
        <f>VLOOKUP(D268,[1]apoio_Preços_MGS!$A$6:$AN$238,29,FALSE)</f>
        <v>48.37</v>
      </c>
      <c r="Y268" s="40">
        <f>VLOOKUP(D268,[1]apoio_Preços_MGS!$A$6:$AN$238,30,FALSE)</f>
        <v>0</v>
      </c>
      <c r="Z268" s="40">
        <f t="shared" si="116"/>
        <v>48.37</v>
      </c>
      <c r="AA268" s="40">
        <f>VLOOKUP(D268,[1]apoio_Preços_MGS!$A$6:$AN$238,32,FALSE)</f>
        <v>4.0951725036548687</v>
      </c>
      <c r="AB268" s="40">
        <f>VLOOKUP(D268,[1]apoio_Preços_MGS!$A$6:$AN$238,33,FALSE)</f>
        <v>127.31948306595362</v>
      </c>
      <c r="AC268" s="41">
        <f>VLOOKUP(D268,[1]apoio_Preços_MGS!$A$6:$AN$238,34,FALSE)</f>
        <v>0</v>
      </c>
      <c r="AD268" s="40">
        <f>(U268+W268+Z268+AB268+AA268+VLOOKUP(C268,[1]apoio_Prec_Folha!$A:$S,7,FALSE))*AC268</f>
        <v>0</v>
      </c>
      <c r="AE268" s="42">
        <f>VLOOKUP(D268,[1]apoio_Preços_MGS!$A$6:$AN$238,36,FALSE)</f>
        <v>7.0000000000000007E-2</v>
      </c>
      <c r="AF268" s="40">
        <f>(U268+W268+Z268+AB268+AD268+AA268+VLOOKUP(C268,[1]apoio_Prec_Folha!$A:$S,7,FALSE))*AE268</f>
        <v>321.94719408402153</v>
      </c>
      <c r="AG268" s="40">
        <f t="shared" si="117"/>
        <v>4379.34</v>
      </c>
      <c r="AH268" s="43">
        <f t="shared" si="118"/>
        <v>5107.09</v>
      </c>
      <c r="AI268" s="43">
        <f t="shared" si="119"/>
        <v>209390.69</v>
      </c>
      <c r="AJ268" s="43">
        <f t="shared" si="120"/>
        <v>12563441.4</v>
      </c>
      <c r="AK268" s="44">
        <f>VLOOKUP(D268,[1]apoio_Preços_MGS!$A$6:$AN$238,39,FALSE)</f>
        <v>163.63636363636365</v>
      </c>
      <c r="AL268" s="44">
        <f>IF(J268="demais municípios",VLOOKUP(D268,[1]apoio_Preços_MGS!$A$6:$AN$238,39,FALSE),0)</f>
        <v>0</v>
      </c>
      <c r="AM268" s="44">
        <f>TRUNC(ROUND(($I268)/(1-($I268)),5)*VLOOKUP(D268,[1]apoio_Preços_MGS!$A$6:$AN$238,39,FALSE)+VLOOKUP(D268,[1]apoio_Preços_MGS!$A$6:$AN$238,39,FALSE),2)</f>
        <v>172.24</v>
      </c>
      <c r="AN268" s="45">
        <f t="shared" si="129"/>
        <v>7061.84</v>
      </c>
      <c r="AO268" s="44">
        <f>VLOOKUP(D268,[1]apoio_Preços_MGS!$A$6:$AN$238,40,FALSE)</f>
        <v>640.36</v>
      </c>
      <c r="AP268" s="44">
        <f>IF(J268="demais municípios",VLOOKUP(D268,[1]apoio_Preços_MGS!$A$6:$AN$238,40,FALSE),0)</f>
        <v>0</v>
      </c>
      <c r="AQ268" s="44">
        <f>TRUNC(ROUND(($I268)/(1-($I268)),5)*VLOOKUP(D268,[1]apoio_Preços_MGS!$A$6:$AN$238,40,FALSE)+VLOOKUP(D268,[1]apoio_Preços_MGS!$A$6:$AN$238,40,FALSE),2)</f>
        <v>674.06</v>
      </c>
      <c r="AR268" s="45">
        <f t="shared" si="130"/>
        <v>27636.46</v>
      </c>
      <c r="AS268" s="45">
        <f t="shared" si="127"/>
        <v>34698.300000000003</v>
      </c>
      <c r="AT268" s="45">
        <f t="shared" si="128"/>
        <v>2081898.0000000002</v>
      </c>
      <c r="AU268" s="62"/>
      <c r="AV268" s="46"/>
      <c r="AW268" s="47"/>
      <c r="AX268" s="48"/>
      <c r="AY268" s="49"/>
      <c r="BA268" s="48"/>
    </row>
    <row r="269" spans="1:53" ht="19.5" customHeight="1" x14ac:dyDescent="0.25">
      <c r="A269" s="33" t="str">
        <f t="shared" si="123"/>
        <v>63843360,02</v>
      </c>
      <c r="B269" s="33" t="str">
        <f t="shared" si="124"/>
        <v>830,02</v>
      </c>
      <c r="C269" s="34" t="str">
        <f>VLOOKUP(D269,[1]apoio_Preços_MGS!$A$6:$B$238,2,FALSE)</f>
        <v>DIGITADOR</v>
      </c>
      <c r="D269" s="35">
        <v>83</v>
      </c>
      <c r="E269" s="33" t="str">
        <f>VLOOKUP(D269,[1]apoio_Preços_MGS!$A$6:$F$238,6,FALSE)</f>
        <v>DIGITADOR (0H ÀS 6H) - ESCALA NOTURNA - 36H</v>
      </c>
      <c r="F269" s="36">
        <f>IFERROR(VLOOKUP(D269,'[1]apoio_cód catmas'!$B$2:$C$863,2,FALSE),0)</f>
        <v>63843</v>
      </c>
      <c r="G269" s="33" t="str">
        <f>IF(H269="N/A",VLOOKUP(F269&amp;40,'[1]apoio_cód catmas'!$A$1:$G$233,4,FALSE),VLOOKUP(F269&amp;H269,'[1]apoio_cód catmas'!$A$1:$G$233,4,FALSE))</f>
        <v>DIGITADOR - NOTURNO (0H AS 6H) - 36H</v>
      </c>
      <c r="H269" s="36">
        <v>36</v>
      </c>
      <c r="I269" s="37">
        <v>0.02</v>
      </c>
      <c r="J269" s="38" t="s">
        <v>46</v>
      </c>
      <c r="K269" s="39">
        <v>35</v>
      </c>
      <c r="L269" s="39">
        <f t="shared" si="113"/>
        <v>2100</v>
      </c>
      <c r="M269" s="40">
        <f>VLOOKUP(D269,[1]apoio_Preços_MGS!$A$6:$AN$238,18,FALSE)</f>
        <v>2132.9023456535779</v>
      </c>
      <c r="N269" s="40">
        <f>VLOOKUP(D269,[1]apoio_Preços_MGS!$A$6:$AN$238,19,FALSE)</f>
        <v>0</v>
      </c>
      <c r="O269" s="40">
        <f>VLOOKUP(D269,[1]apoio_Preços_MGS!$A$6:$AN$238,20,FALSE)</f>
        <v>707.3408968003879</v>
      </c>
      <c r="P269" s="40">
        <f>VLOOKUP(D269,[1]apoio_Preços_MGS!$A$6:$AN$238,21,FALSE)</f>
        <v>10.808116067627976</v>
      </c>
      <c r="Q269" s="40">
        <f>VLOOKUP(D269,[1]apoio_Preços_MGS!$A$6:$AN$238,22,FALSE)</f>
        <v>57.900604420677624</v>
      </c>
      <c r="R269" s="40">
        <f>VLOOKUP(D269,[1]apoio_Preços_MGS!$A$6:$AN$238,23,FALSE)</f>
        <v>0</v>
      </c>
      <c r="S269" s="40">
        <f>VLOOKUP(D269,[1]apoio_Preços_MGS!$A$6:$AN$238,24,FALSE)</f>
        <v>96.276841991307336</v>
      </c>
      <c r="T269" s="40">
        <f>VLOOKUP(D269,[1]apoio_Preços_MGS!$A$6:$AN$238,25,FALSE)</f>
        <v>0</v>
      </c>
      <c r="U269" s="40">
        <f t="shared" si="107"/>
        <v>3005.2288049335784</v>
      </c>
      <c r="V269" s="41">
        <f>VLOOKUP(D269,[1]apoio_Preços_MGS!$A$6:$AN$238,27,FALSE)</f>
        <v>0.81799999999999995</v>
      </c>
      <c r="W269" s="40">
        <f t="shared" si="108"/>
        <v>2458.2771624356669</v>
      </c>
      <c r="X269" s="40">
        <f>VLOOKUP(D269,[1]apoio_Preços_MGS!$A$6:$AN$238,29,FALSE)</f>
        <v>48.37</v>
      </c>
      <c r="Y269" s="40">
        <f>VLOOKUP(D269,[1]apoio_Preços_MGS!$A$6:$AN$238,30,FALSE)</f>
        <v>0</v>
      </c>
      <c r="Z269" s="40">
        <f t="shared" si="116"/>
        <v>48.37</v>
      </c>
      <c r="AA269" s="40">
        <f>VLOOKUP(D269,[1]apoio_Preços_MGS!$A$6:$AN$238,32,FALSE)</f>
        <v>4.0951725036548687</v>
      </c>
      <c r="AB269" s="40">
        <f>VLOOKUP(D269,[1]apoio_Preços_MGS!$A$6:$AN$238,33,FALSE)</f>
        <v>127.31948306595362</v>
      </c>
      <c r="AC269" s="41">
        <f>VLOOKUP(D269,[1]apoio_Preços_MGS!$A$6:$AN$238,34,FALSE)</f>
        <v>0</v>
      </c>
      <c r="AD269" s="40">
        <f>(U269+W269+Z269+AB269+AA269+VLOOKUP(C269,[1]apoio_Prec_Folha!$A:$S,7,FALSE))*AC269</f>
        <v>0</v>
      </c>
      <c r="AE269" s="42">
        <f>VLOOKUP(D269,[1]apoio_Preços_MGS!$A$6:$AN$238,36,FALSE)</f>
        <v>7.0000000000000007E-2</v>
      </c>
      <c r="AF269" s="40">
        <f>(U269+W269+Z269+AB269+AD269+AA269+VLOOKUP(C269,[1]apoio_Prec_Folha!$A:$S,7,FALSE))*AE269</f>
        <v>432.95945929199439</v>
      </c>
      <c r="AG269" s="40">
        <f t="shared" si="117"/>
        <v>6076.25</v>
      </c>
      <c r="AH269" s="43">
        <f t="shared" si="118"/>
        <v>6846.47</v>
      </c>
      <c r="AI269" s="43">
        <f t="shared" si="119"/>
        <v>239626.45</v>
      </c>
      <c r="AJ269" s="43">
        <f t="shared" si="120"/>
        <v>14377587</v>
      </c>
      <c r="AK269" s="44">
        <f>VLOOKUP(D269,[1]apoio_Preços_MGS!$A$6:$AN$238,39,FALSE)</f>
        <v>163.63636363636365</v>
      </c>
      <c r="AL269" s="44">
        <f>IF(J269="demais municípios",VLOOKUP(D269,[1]apoio_Preços_MGS!$A$6:$AN$238,39,FALSE),0)</f>
        <v>163.63636363636365</v>
      </c>
      <c r="AM269" s="44">
        <v>0</v>
      </c>
      <c r="AN269" s="45">
        <f t="shared" ref="AN269:AN272" si="133">AK269*K269</f>
        <v>5727.2727272727279</v>
      </c>
      <c r="AO269" s="44">
        <f>VLOOKUP(D269,[1]apoio_Preços_MGS!$A$6:$AN$238,40,FALSE)</f>
        <v>640.36</v>
      </c>
      <c r="AP269" s="44">
        <f>IF(J269="demais municípios",VLOOKUP(D269,[1]apoio_Preços_MGS!$A$6:$AN$238,40,FALSE),0)</f>
        <v>640.36</v>
      </c>
      <c r="AQ269" s="44">
        <v>0</v>
      </c>
      <c r="AR269" s="45">
        <f t="shared" ref="AR269:AR272" si="134">AO269*K269</f>
        <v>22412.600000000002</v>
      </c>
      <c r="AS269" s="45">
        <f t="shared" si="127"/>
        <v>28139.87272727273</v>
      </c>
      <c r="AT269" s="45">
        <f t="shared" si="128"/>
        <v>1688392.3636363638</v>
      </c>
      <c r="AU269" s="62"/>
      <c r="AV269" s="46"/>
      <c r="AW269" s="47"/>
      <c r="AX269" s="48"/>
      <c r="AY269" s="49"/>
      <c r="BA269" s="48"/>
    </row>
    <row r="270" spans="1:53" ht="19.5" customHeight="1" x14ac:dyDescent="0.25">
      <c r="A270" s="33" t="str">
        <f t="shared" si="123"/>
        <v>63843360,03</v>
      </c>
      <c r="B270" s="33" t="str">
        <f t="shared" si="124"/>
        <v>830,03</v>
      </c>
      <c r="C270" s="34" t="str">
        <f>VLOOKUP(D270,[1]apoio_Preços_MGS!$A$6:$B$238,2,FALSE)</f>
        <v>DIGITADOR</v>
      </c>
      <c r="D270" s="35">
        <v>83</v>
      </c>
      <c r="E270" s="33" t="str">
        <f>VLOOKUP(D270,[1]apoio_Preços_MGS!$A$6:$F$238,6,FALSE)</f>
        <v>DIGITADOR (0H ÀS 6H) - ESCALA NOTURNA - 36H</v>
      </c>
      <c r="F270" s="36">
        <f>IFERROR(VLOOKUP(D270,'[1]apoio_cód catmas'!$B$2:$C$863,2,FALSE),0)</f>
        <v>63843</v>
      </c>
      <c r="G270" s="33" t="str">
        <f>IF(H270="N/A",VLOOKUP(F270&amp;40,'[1]apoio_cód catmas'!$A$1:$G$233,4,FALSE),VLOOKUP(F270&amp;H270,'[1]apoio_cód catmas'!$A$1:$G$233,4,FALSE))</f>
        <v>DIGITADOR - NOTURNO (0H AS 6H) - 36H</v>
      </c>
      <c r="H270" s="36">
        <v>36</v>
      </c>
      <c r="I270" s="37">
        <v>0.03</v>
      </c>
      <c r="J270" s="38" t="s">
        <v>46</v>
      </c>
      <c r="K270" s="39">
        <v>29</v>
      </c>
      <c r="L270" s="39">
        <f t="shared" si="113"/>
        <v>1740</v>
      </c>
      <c r="M270" s="40">
        <f>VLOOKUP(D270,[1]apoio_Preços_MGS!$A$6:$AN$238,18,FALSE)</f>
        <v>2132.9023456535779</v>
      </c>
      <c r="N270" s="40">
        <f>VLOOKUP(D270,[1]apoio_Preços_MGS!$A$6:$AN$238,19,FALSE)</f>
        <v>0</v>
      </c>
      <c r="O270" s="40">
        <f>VLOOKUP(D270,[1]apoio_Preços_MGS!$A$6:$AN$238,20,FALSE)</f>
        <v>707.3408968003879</v>
      </c>
      <c r="P270" s="40">
        <f>VLOOKUP(D270,[1]apoio_Preços_MGS!$A$6:$AN$238,21,FALSE)</f>
        <v>10.808116067627976</v>
      </c>
      <c r="Q270" s="40">
        <f>VLOOKUP(D270,[1]apoio_Preços_MGS!$A$6:$AN$238,22,FALSE)</f>
        <v>57.900604420677624</v>
      </c>
      <c r="R270" s="40">
        <f>VLOOKUP(D270,[1]apoio_Preços_MGS!$A$6:$AN$238,23,FALSE)</f>
        <v>0</v>
      </c>
      <c r="S270" s="40">
        <f>VLOOKUP(D270,[1]apoio_Preços_MGS!$A$6:$AN$238,24,FALSE)</f>
        <v>96.276841991307336</v>
      </c>
      <c r="T270" s="40">
        <f>VLOOKUP(D270,[1]apoio_Preços_MGS!$A$6:$AN$238,25,FALSE)</f>
        <v>0</v>
      </c>
      <c r="U270" s="40">
        <f t="shared" si="107"/>
        <v>3005.2288049335784</v>
      </c>
      <c r="V270" s="41">
        <f>VLOOKUP(D270,[1]apoio_Preços_MGS!$A$6:$AN$238,27,FALSE)</f>
        <v>0.81799999999999995</v>
      </c>
      <c r="W270" s="40">
        <f t="shared" si="108"/>
        <v>2458.2771624356669</v>
      </c>
      <c r="X270" s="40">
        <f>VLOOKUP(D270,[1]apoio_Preços_MGS!$A$6:$AN$238,29,FALSE)</f>
        <v>48.37</v>
      </c>
      <c r="Y270" s="40">
        <f>VLOOKUP(D270,[1]apoio_Preços_MGS!$A$6:$AN$238,30,FALSE)</f>
        <v>0</v>
      </c>
      <c r="Z270" s="40">
        <f t="shared" si="116"/>
        <v>48.37</v>
      </c>
      <c r="AA270" s="40">
        <f>VLOOKUP(D270,[1]apoio_Preços_MGS!$A$6:$AN$238,32,FALSE)</f>
        <v>4.0951725036548687</v>
      </c>
      <c r="AB270" s="40">
        <f>VLOOKUP(D270,[1]apoio_Preços_MGS!$A$6:$AN$238,33,FALSE)</f>
        <v>127.31948306595362</v>
      </c>
      <c r="AC270" s="41">
        <f>VLOOKUP(D270,[1]apoio_Preços_MGS!$A$6:$AN$238,34,FALSE)</f>
        <v>0</v>
      </c>
      <c r="AD270" s="40">
        <f>(U270+W270+Z270+AB270+AA270+VLOOKUP(C270,[1]apoio_Prec_Folha!$A:$S,7,FALSE))*AC270</f>
        <v>0</v>
      </c>
      <c r="AE270" s="42">
        <f>VLOOKUP(D270,[1]apoio_Preços_MGS!$A$6:$AN$238,36,FALSE)</f>
        <v>7.0000000000000007E-2</v>
      </c>
      <c r="AF270" s="40">
        <f>(U270+W270+Z270+AB270+AD270+AA270+VLOOKUP(C270,[1]apoio_Prec_Folha!$A:$S,7,FALSE))*AE270</f>
        <v>432.95945929199439</v>
      </c>
      <c r="AG270" s="40">
        <f t="shared" si="117"/>
        <v>6076.25</v>
      </c>
      <c r="AH270" s="43">
        <f t="shared" si="118"/>
        <v>6924.49</v>
      </c>
      <c r="AI270" s="43">
        <f t="shared" si="119"/>
        <v>200810.21</v>
      </c>
      <c r="AJ270" s="43">
        <f t="shared" si="120"/>
        <v>12048612.6</v>
      </c>
      <c r="AK270" s="44">
        <f>VLOOKUP(D270,[1]apoio_Preços_MGS!$A$6:$AN$238,39,FALSE)</f>
        <v>163.63636363636365</v>
      </c>
      <c r="AL270" s="44">
        <f>IF(J270="demais municípios",VLOOKUP(D270,[1]apoio_Preços_MGS!$A$6:$AN$238,39,FALSE),0)</f>
        <v>163.63636363636365</v>
      </c>
      <c r="AM270" s="44">
        <v>0</v>
      </c>
      <c r="AN270" s="45">
        <f t="shared" si="133"/>
        <v>4745.454545454546</v>
      </c>
      <c r="AO270" s="44">
        <f>VLOOKUP(D270,[1]apoio_Preços_MGS!$A$6:$AN$238,40,FALSE)</f>
        <v>640.36</v>
      </c>
      <c r="AP270" s="44">
        <f>IF(J270="demais municípios",VLOOKUP(D270,[1]apoio_Preços_MGS!$A$6:$AN$238,40,FALSE),0)</f>
        <v>640.36</v>
      </c>
      <c r="AQ270" s="44">
        <v>0</v>
      </c>
      <c r="AR270" s="45">
        <f t="shared" si="134"/>
        <v>18570.439999999999</v>
      </c>
      <c r="AS270" s="45">
        <f t="shared" si="127"/>
        <v>23315.894545454546</v>
      </c>
      <c r="AT270" s="45">
        <f t="shared" si="128"/>
        <v>1398953.6727272728</v>
      </c>
      <c r="AU270" s="62"/>
      <c r="AV270" s="46"/>
      <c r="AW270" s="47"/>
      <c r="AX270" s="48"/>
      <c r="AY270" s="49"/>
      <c r="BA270" s="48"/>
    </row>
    <row r="271" spans="1:53" ht="19.5" customHeight="1" x14ac:dyDescent="0.25">
      <c r="A271" s="33" t="str">
        <f t="shared" si="123"/>
        <v>63843360,035</v>
      </c>
      <c r="B271" s="33" t="str">
        <f t="shared" si="124"/>
        <v>830,035</v>
      </c>
      <c r="C271" s="34" t="str">
        <f>VLOOKUP(D271,[1]apoio_Preços_MGS!$A$6:$B$238,2,FALSE)</f>
        <v>DIGITADOR</v>
      </c>
      <c r="D271" s="35">
        <v>83</v>
      </c>
      <c r="E271" s="33" t="str">
        <f>VLOOKUP(D271,[1]apoio_Preços_MGS!$A$6:$F$238,6,FALSE)</f>
        <v>DIGITADOR (0H ÀS 6H) - ESCALA NOTURNA - 36H</v>
      </c>
      <c r="F271" s="36">
        <f>IFERROR(VLOOKUP(D271,'[1]apoio_cód catmas'!$B$2:$C$863,2,FALSE),0)</f>
        <v>63843</v>
      </c>
      <c r="G271" s="33" t="str">
        <f>IF(H271="N/A",VLOOKUP(F271&amp;40,'[1]apoio_cód catmas'!$A$1:$G$233,4,FALSE),VLOOKUP(F271&amp;H271,'[1]apoio_cód catmas'!$A$1:$G$233,4,FALSE))</f>
        <v>DIGITADOR - NOTURNO (0H AS 6H) - 36H</v>
      </c>
      <c r="H271" s="36">
        <v>36</v>
      </c>
      <c r="I271" s="37">
        <v>3.5000000000000003E-2</v>
      </c>
      <c r="J271" s="38" t="s">
        <v>46</v>
      </c>
      <c r="K271" s="39">
        <v>8</v>
      </c>
      <c r="L271" s="39">
        <f t="shared" si="113"/>
        <v>480</v>
      </c>
      <c r="M271" s="40">
        <f>VLOOKUP(D271,[1]apoio_Preços_MGS!$A$6:$AN$238,18,FALSE)</f>
        <v>2132.9023456535779</v>
      </c>
      <c r="N271" s="40">
        <f>VLOOKUP(D271,[1]apoio_Preços_MGS!$A$6:$AN$238,19,FALSE)</f>
        <v>0</v>
      </c>
      <c r="O271" s="40">
        <f>VLOOKUP(D271,[1]apoio_Preços_MGS!$A$6:$AN$238,20,FALSE)</f>
        <v>707.3408968003879</v>
      </c>
      <c r="P271" s="40">
        <f>VLOOKUP(D271,[1]apoio_Preços_MGS!$A$6:$AN$238,21,FALSE)</f>
        <v>10.808116067627976</v>
      </c>
      <c r="Q271" s="40">
        <f>VLOOKUP(D271,[1]apoio_Preços_MGS!$A$6:$AN$238,22,FALSE)</f>
        <v>57.900604420677624</v>
      </c>
      <c r="R271" s="40">
        <f>VLOOKUP(D271,[1]apoio_Preços_MGS!$A$6:$AN$238,23,FALSE)</f>
        <v>0</v>
      </c>
      <c r="S271" s="40">
        <f>VLOOKUP(D271,[1]apoio_Preços_MGS!$A$6:$AN$238,24,FALSE)</f>
        <v>96.276841991307336</v>
      </c>
      <c r="T271" s="40">
        <f>VLOOKUP(D271,[1]apoio_Preços_MGS!$A$6:$AN$238,25,FALSE)</f>
        <v>0</v>
      </c>
      <c r="U271" s="40">
        <f t="shared" si="107"/>
        <v>3005.2288049335784</v>
      </c>
      <c r="V271" s="41">
        <f>VLOOKUP(D271,[1]apoio_Preços_MGS!$A$6:$AN$238,27,FALSE)</f>
        <v>0.81799999999999995</v>
      </c>
      <c r="W271" s="40">
        <f t="shared" si="108"/>
        <v>2458.2771624356669</v>
      </c>
      <c r="X271" s="40">
        <f>VLOOKUP(D271,[1]apoio_Preços_MGS!$A$6:$AN$238,29,FALSE)</f>
        <v>48.37</v>
      </c>
      <c r="Y271" s="40">
        <f>VLOOKUP(D271,[1]apoio_Preços_MGS!$A$6:$AN$238,30,FALSE)</f>
        <v>0</v>
      </c>
      <c r="Z271" s="40">
        <f t="shared" si="116"/>
        <v>48.37</v>
      </c>
      <c r="AA271" s="40">
        <f>VLOOKUP(D271,[1]apoio_Preços_MGS!$A$6:$AN$238,32,FALSE)</f>
        <v>4.0951725036548687</v>
      </c>
      <c r="AB271" s="40">
        <f>VLOOKUP(D271,[1]apoio_Preços_MGS!$A$6:$AN$238,33,FALSE)</f>
        <v>127.31948306595362</v>
      </c>
      <c r="AC271" s="41">
        <f>VLOOKUP(D271,[1]apoio_Preços_MGS!$A$6:$AN$238,34,FALSE)</f>
        <v>0</v>
      </c>
      <c r="AD271" s="40">
        <f>(U271+W271+Z271+AB271+AA271+VLOOKUP(C271,[1]apoio_Prec_Folha!$A:$S,7,FALSE))*AC271</f>
        <v>0</v>
      </c>
      <c r="AE271" s="42">
        <f>VLOOKUP(D271,[1]apoio_Preços_MGS!$A$6:$AN$238,36,FALSE)</f>
        <v>7.0000000000000007E-2</v>
      </c>
      <c r="AF271" s="40">
        <f>(U271+W271+Z271+AB271+AD271+AA271+VLOOKUP(C271,[1]apoio_Prec_Folha!$A:$S,7,FALSE))*AE271</f>
        <v>432.95945929199439</v>
      </c>
      <c r="AG271" s="40">
        <f t="shared" si="117"/>
        <v>6076.25</v>
      </c>
      <c r="AH271" s="43">
        <f t="shared" si="118"/>
        <v>6964.17</v>
      </c>
      <c r="AI271" s="43">
        <f t="shared" si="119"/>
        <v>55713.36</v>
      </c>
      <c r="AJ271" s="43">
        <f t="shared" si="120"/>
        <v>3342801.6</v>
      </c>
      <c r="AK271" s="44">
        <f>VLOOKUP(D271,[1]apoio_Preços_MGS!$A$6:$AN$238,39,FALSE)</f>
        <v>163.63636363636365</v>
      </c>
      <c r="AL271" s="44">
        <f>IF(J271="demais municípios",VLOOKUP(D271,[1]apoio_Preços_MGS!$A$6:$AN$238,39,FALSE),0)</f>
        <v>163.63636363636365</v>
      </c>
      <c r="AM271" s="44">
        <v>0</v>
      </c>
      <c r="AN271" s="45">
        <f t="shared" si="133"/>
        <v>1309.0909090909092</v>
      </c>
      <c r="AO271" s="44">
        <f>VLOOKUP(D271,[1]apoio_Preços_MGS!$A$6:$AN$238,40,FALSE)</f>
        <v>640.36</v>
      </c>
      <c r="AP271" s="44">
        <f>IF(J271="demais municípios",VLOOKUP(D271,[1]apoio_Preços_MGS!$A$6:$AN$238,40,FALSE),0)</f>
        <v>640.36</v>
      </c>
      <c r="AQ271" s="44">
        <v>0</v>
      </c>
      <c r="AR271" s="45">
        <f t="shared" si="134"/>
        <v>5122.88</v>
      </c>
      <c r="AS271" s="45">
        <f t="shared" si="127"/>
        <v>6431.9709090909091</v>
      </c>
      <c r="AT271" s="45">
        <f t="shared" si="128"/>
        <v>385918.25454545452</v>
      </c>
      <c r="AU271" s="62"/>
      <c r="AV271" s="46"/>
      <c r="AW271" s="47"/>
      <c r="AX271" s="48"/>
      <c r="AY271" s="49"/>
      <c r="BA271" s="48"/>
    </row>
    <row r="272" spans="1:53" ht="19.5" customHeight="1" x14ac:dyDescent="0.25">
      <c r="A272" s="33" t="str">
        <f t="shared" si="123"/>
        <v>63843360,05</v>
      </c>
      <c r="B272" s="33" t="str">
        <f t="shared" si="124"/>
        <v>830,05</v>
      </c>
      <c r="C272" s="34" t="str">
        <f>VLOOKUP(D272,[1]apoio_Preços_MGS!$A$6:$B$238,2,FALSE)</f>
        <v>DIGITADOR</v>
      </c>
      <c r="D272" s="35">
        <v>83</v>
      </c>
      <c r="E272" s="33" t="str">
        <f>VLOOKUP(D272,[1]apoio_Preços_MGS!$A$6:$F$238,6,FALSE)</f>
        <v>DIGITADOR (0H ÀS 6H) - ESCALA NOTURNA - 36H</v>
      </c>
      <c r="F272" s="36">
        <f>IFERROR(VLOOKUP(D272,'[1]apoio_cód catmas'!$B$2:$C$863,2,FALSE),0)</f>
        <v>63843</v>
      </c>
      <c r="G272" s="33" t="str">
        <f>IF(H272="N/A",VLOOKUP(F272&amp;40,'[1]apoio_cód catmas'!$A$1:$G$233,4,FALSE),VLOOKUP(F272&amp;H272,'[1]apoio_cód catmas'!$A$1:$G$233,4,FALSE))</f>
        <v>DIGITADOR - NOTURNO (0H AS 6H) - 36H</v>
      </c>
      <c r="H272" s="36">
        <v>36</v>
      </c>
      <c r="I272" s="37">
        <v>0.05</v>
      </c>
      <c r="J272" s="38" t="s">
        <v>46</v>
      </c>
      <c r="K272" s="39">
        <f>29-K273</f>
        <v>10</v>
      </c>
      <c r="L272" s="39">
        <f t="shared" si="113"/>
        <v>600</v>
      </c>
      <c r="M272" s="40">
        <f>VLOOKUP(D272,[1]apoio_Preços_MGS!$A$6:$AN$238,18,FALSE)</f>
        <v>2132.9023456535779</v>
      </c>
      <c r="N272" s="40">
        <f>VLOOKUP(D272,[1]apoio_Preços_MGS!$A$6:$AN$238,19,FALSE)</f>
        <v>0</v>
      </c>
      <c r="O272" s="40">
        <f>VLOOKUP(D272,[1]apoio_Preços_MGS!$A$6:$AN$238,20,FALSE)</f>
        <v>707.3408968003879</v>
      </c>
      <c r="P272" s="40">
        <f>VLOOKUP(D272,[1]apoio_Preços_MGS!$A$6:$AN$238,21,FALSE)</f>
        <v>10.808116067627976</v>
      </c>
      <c r="Q272" s="40">
        <f>VLOOKUP(D272,[1]apoio_Preços_MGS!$A$6:$AN$238,22,FALSE)</f>
        <v>57.900604420677624</v>
      </c>
      <c r="R272" s="40">
        <f>VLOOKUP(D272,[1]apoio_Preços_MGS!$A$6:$AN$238,23,FALSE)</f>
        <v>0</v>
      </c>
      <c r="S272" s="40">
        <f>VLOOKUP(D272,[1]apoio_Preços_MGS!$A$6:$AN$238,24,FALSE)</f>
        <v>96.276841991307336</v>
      </c>
      <c r="T272" s="40">
        <f>VLOOKUP(D272,[1]apoio_Preços_MGS!$A$6:$AN$238,25,FALSE)</f>
        <v>0</v>
      </c>
      <c r="U272" s="40">
        <f t="shared" si="107"/>
        <v>3005.2288049335784</v>
      </c>
      <c r="V272" s="41">
        <f>VLOOKUP(D272,[1]apoio_Preços_MGS!$A$6:$AN$238,27,FALSE)</f>
        <v>0.81799999999999995</v>
      </c>
      <c r="W272" s="40">
        <f t="shared" si="108"/>
        <v>2458.2771624356669</v>
      </c>
      <c r="X272" s="40">
        <f>VLOOKUP(D272,[1]apoio_Preços_MGS!$A$6:$AN$238,29,FALSE)</f>
        <v>48.37</v>
      </c>
      <c r="Y272" s="40">
        <f>VLOOKUP(D272,[1]apoio_Preços_MGS!$A$6:$AN$238,30,FALSE)</f>
        <v>0</v>
      </c>
      <c r="Z272" s="40">
        <f t="shared" si="116"/>
        <v>48.37</v>
      </c>
      <c r="AA272" s="40">
        <f>VLOOKUP(D272,[1]apoio_Preços_MGS!$A$6:$AN$238,32,FALSE)</f>
        <v>4.0951725036548687</v>
      </c>
      <c r="AB272" s="40">
        <f>VLOOKUP(D272,[1]apoio_Preços_MGS!$A$6:$AN$238,33,FALSE)</f>
        <v>127.31948306595362</v>
      </c>
      <c r="AC272" s="41">
        <f>VLOOKUP(D272,[1]apoio_Preços_MGS!$A$6:$AN$238,34,FALSE)</f>
        <v>0</v>
      </c>
      <c r="AD272" s="40">
        <f>(U272+W272+Z272+AB272+AA272+VLOOKUP(C272,[1]apoio_Prec_Folha!$A:$S,7,FALSE))*AC272</f>
        <v>0</v>
      </c>
      <c r="AE272" s="42">
        <f>VLOOKUP(D272,[1]apoio_Preços_MGS!$A$6:$AN$238,36,FALSE)</f>
        <v>7.0000000000000007E-2</v>
      </c>
      <c r="AF272" s="40">
        <f>(U272+W272+Z272+AB272+AD272+AA272+VLOOKUP(C272,[1]apoio_Prec_Folha!$A:$S,7,FALSE))*AE272</f>
        <v>432.95945929199439</v>
      </c>
      <c r="AG272" s="40">
        <f t="shared" si="117"/>
        <v>6076.25</v>
      </c>
      <c r="AH272" s="43">
        <f t="shared" si="118"/>
        <v>7086</v>
      </c>
      <c r="AI272" s="43">
        <f t="shared" si="119"/>
        <v>70860</v>
      </c>
      <c r="AJ272" s="43">
        <f t="shared" si="120"/>
        <v>4251600</v>
      </c>
      <c r="AK272" s="44">
        <f>VLOOKUP(D272,[1]apoio_Preços_MGS!$A$6:$AN$238,39,FALSE)</f>
        <v>163.63636363636365</v>
      </c>
      <c r="AL272" s="44">
        <f>IF(J272="demais municípios",VLOOKUP(D272,[1]apoio_Preços_MGS!$A$6:$AN$238,39,FALSE),0)</f>
        <v>163.63636363636365</v>
      </c>
      <c r="AM272" s="44">
        <v>0</v>
      </c>
      <c r="AN272" s="45">
        <f t="shared" si="133"/>
        <v>1636.3636363636365</v>
      </c>
      <c r="AO272" s="44">
        <f>VLOOKUP(D272,[1]apoio_Preços_MGS!$A$6:$AN$238,40,FALSE)</f>
        <v>640.36</v>
      </c>
      <c r="AP272" s="44">
        <f>IF(J272="demais municípios",VLOOKUP(D272,[1]apoio_Preços_MGS!$A$6:$AN$238,40,FALSE),0)</f>
        <v>640.36</v>
      </c>
      <c r="AQ272" s="44">
        <v>0</v>
      </c>
      <c r="AR272" s="45">
        <f t="shared" si="134"/>
        <v>6403.6</v>
      </c>
      <c r="AS272" s="45">
        <f t="shared" si="127"/>
        <v>8039.9636363636364</v>
      </c>
      <c r="AT272" s="45">
        <f t="shared" si="128"/>
        <v>482397.81818181818</v>
      </c>
      <c r="AU272" s="62"/>
      <c r="AV272" s="46"/>
      <c r="AW272" s="47"/>
      <c r="AX272" s="48"/>
      <c r="AY272" s="49"/>
      <c r="BA272" s="48"/>
    </row>
    <row r="273" spans="1:53" ht="19.5" customHeight="1" x14ac:dyDescent="0.25">
      <c r="A273" s="33" t="str">
        <f t="shared" si="123"/>
        <v>63843360,05</v>
      </c>
      <c r="B273" s="33" t="str">
        <f t="shared" si="124"/>
        <v>830,05</v>
      </c>
      <c r="C273" s="34" t="str">
        <f>VLOOKUP(D273,[1]apoio_Preços_MGS!$A$6:$B$238,2,FALSE)</f>
        <v>DIGITADOR</v>
      </c>
      <c r="D273" s="35">
        <v>83</v>
      </c>
      <c r="E273" s="33" t="str">
        <f>VLOOKUP(D273,[1]apoio_Preços_MGS!$A$6:$F$238,6,FALSE)</f>
        <v>DIGITADOR (0H ÀS 6H) - ESCALA NOTURNA - 36H</v>
      </c>
      <c r="F273" s="36">
        <f>IFERROR(VLOOKUP(D273,'[1]apoio_cód catmas'!$B$2:$C$863,2,FALSE),0)</f>
        <v>63843</v>
      </c>
      <c r="G273" s="33" t="str">
        <f>IF(H273="N/A",VLOOKUP(F273&amp;40,'[1]apoio_cód catmas'!$A$1:$G$233,4,FALSE),VLOOKUP(F273&amp;H273,'[1]apoio_cód catmas'!$A$1:$G$233,4,FALSE))</f>
        <v>DIGITADOR - NOTURNO (0H AS 6H) - 36H</v>
      </c>
      <c r="H273" s="36">
        <v>36</v>
      </c>
      <c r="I273" s="37">
        <v>0.05</v>
      </c>
      <c r="J273" s="38" t="s">
        <v>47</v>
      </c>
      <c r="K273" s="39">
        <v>19</v>
      </c>
      <c r="L273" s="39">
        <f t="shared" si="113"/>
        <v>1140</v>
      </c>
      <c r="M273" s="40">
        <f>VLOOKUP(D273,[1]apoio_Preços_MGS!$A$6:$AN$238,18,FALSE)</f>
        <v>2132.9023456535779</v>
      </c>
      <c r="N273" s="40">
        <f>VLOOKUP(D273,[1]apoio_Preços_MGS!$A$6:$AN$238,19,FALSE)</f>
        <v>0</v>
      </c>
      <c r="O273" s="40">
        <f>VLOOKUP(D273,[1]apoio_Preços_MGS!$A$6:$AN$238,20,FALSE)</f>
        <v>707.3408968003879</v>
      </c>
      <c r="P273" s="40">
        <f>VLOOKUP(D273,[1]apoio_Preços_MGS!$A$6:$AN$238,21,FALSE)</f>
        <v>10.808116067627976</v>
      </c>
      <c r="Q273" s="40">
        <f>VLOOKUP(D273,[1]apoio_Preços_MGS!$A$6:$AN$238,22,FALSE)</f>
        <v>57.900604420677624</v>
      </c>
      <c r="R273" s="40">
        <f>VLOOKUP(D273,[1]apoio_Preços_MGS!$A$6:$AN$238,23,FALSE)</f>
        <v>0</v>
      </c>
      <c r="S273" s="40">
        <f>VLOOKUP(D273,[1]apoio_Preços_MGS!$A$6:$AN$238,24,FALSE)</f>
        <v>96.276841991307336</v>
      </c>
      <c r="T273" s="40">
        <f>VLOOKUP(D273,[1]apoio_Preços_MGS!$A$6:$AN$238,25,FALSE)</f>
        <v>0</v>
      </c>
      <c r="U273" s="40">
        <f t="shared" si="107"/>
        <v>3005.2288049335784</v>
      </c>
      <c r="V273" s="41">
        <f>VLOOKUP(D273,[1]apoio_Preços_MGS!$A$6:$AN$238,27,FALSE)</f>
        <v>0.81799999999999995</v>
      </c>
      <c r="W273" s="40">
        <f t="shared" si="108"/>
        <v>2458.2771624356669</v>
      </c>
      <c r="X273" s="40">
        <f>VLOOKUP(D273,[1]apoio_Preços_MGS!$A$6:$AN$238,29,FALSE)</f>
        <v>48.37</v>
      </c>
      <c r="Y273" s="40">
        <f>VLOOKUP(D273,[1]apoio_Preços_MGS!$A$6:$AN$238,30,FALSE)</f>
        <v>0</v>
      </c>
      <c r="Z273" s="40">
        <f t="shared" si="116"/>
        <v>48.37</v>
      </c>
      <c r="AA273" s="40">
        <f>VLOOKUP(D273,[1]apoio_Preços_MGS!$A$6:$AN$238,32,FALSE)</f>
        <v>4.0951725036548687</v>
      </c>
      <c r="AB273" s="40">
        <f>VLOOKUP(D273,[1]apoio_Preços_MGS!$A$6:$AN$238,33,FALSE)</f>
        <v>127.31948306595362</v>
      </c>
      <c r="AC273" s="41">
        <f>VLOOKUP(D273,[1]apoio_Preços_MGS!$A$6:$AN$238,34,FALSE)</f>
        <v>0</v>
      </c>
      <c r="AD273" s="40">
        <f>(U273+W273+Z273+AB273+AA273+VLOOKUP(C273,[1]apoio_Prec_Folha!$A:$S,7,FALSE))*AC273</f>
        <v>0</v>
      </c>
      <c r="AE273" s="42">
        <f>VLOOKUP(D273,[1]apoio_Preços_MGS!$A$6:$AN$238,36,FALSE)</f>
        <v>7.0000000000000007E-2</v>
      </c>
      <c r="AF273" s="40">
        <f>(U273+W273+Z273+AB273+AD273+AA273+VLOOKUP(C273,[1]apoio_Prec_Folha!$A:$S,7,FALSE))*AE273</f>
        <v>432.95945929199439</v>
      </c>
      <c r="AG273" s="40">
        <f t="shared" si="117"/>
        <v>6076.25</v>
      </c>
      <c r="AH273" s="43">
        <f t="shared" si="118"/>
        <v>7086</v>
      </c>
      <c r="AI273" s="43">
        <f t="shared" si="119"/>
        <v>134634</v>
      </c>
      <c r="AJ273" s="43">
        <f t="shared" si="120"/>
        <v>8078040</v>
      </c>
      <c r="AK273" s="44">
        <f>VLOOKUP(D273,[1]apoio_Preços_MGS!$A$6:$AN$238,39,FALSE)</f>
        <v>163.63636363636365</v>
      </c>
      <c r="AL273" s="44">
        <f>IF(J273="demais municípios",VLOOKUP(D273,[1]apoio_Preços_MGS!$A$6:$AN$238,39,FALSE),0)</f>
        <v>0</v>
      </c>
      <c r="AM273" s="44">
        <f>TRUNC(ROUND(($I273)/(1-($I273)),5)*VLOOKUP(D273,[1]apoio_Preços_MGS!$A$6:$AN$238,39,FALSE)+VLOOKUP(D273,[1]apoio_Preços_MGS!$A$6:$AN$238,39,FALSE),2)</f>
        <v>172.24</v>
      </c>
      <c r="AN273" s="45">
        <f t="shared" si="129"/>
        <v>3272.5600000000004</v>
      </c>
      <c r="AO273" s="44">
        <f>VLOOKUP(D273,[1]apoio_Preços_MGS!$A$6:$AN$238,40,FALSE)</f>
        <v>640.36</v>
      </c>
      <c r="AP273" s="44">
        <f>IF(J273="demais municípios",VLOOKUP(D273,[1]apoio_Preços_MGS!$A$6:$AN$238,40,FALSE),0)</f>
        <v>0</v>
      </c>
      <c r="AQ273" s="44">
        <f>TRUNC(ROUND(($I273)/(1-($I273)),5)*VLOOKUP(D273,[1]apoio_Preços_MGS!$A$6:$AN$238,40,FALSE)+VLOOKUP(D273,[1]apoio_Preços_MGS!$A$6:$AN$238,40,FALSE),2)</f>
        <v>674.06</v>
      </c>
      <c r="AR273" s="45">
        <f t="shared" si="130"/>
        <v>12807.14</v>
      </c>
      <c r="AS273" s="45">
        <f t="shared" si="127"/>
        <v>16079.7</v>
      </c>
      <c r="AT273" s="45">
        <f t="shared" si="128"/>
        <v>964782</v>
      </c>
      <c r="AU273" s="62"/>
      <c r="AV273" s="46"/>
      <c r="AW273" s="47"/>
      <c r="AX273" s="48"/>
      <c r="AY273" s="49"/>
      <c r="BA273" s="48"/>
    </row>
    <row r="274" spans="1:53" ht="19.5" customHeight="1" x14ac:dyDescent="0.25">
      <c r="A274" s="33" t="str">
        <f t="shared" si="123"/>
        <v>63851360,02</v>
      </c>
      <c r="B274" s="33" t="str">
        <f t="shared" si="124"/>
        <v>850,02</v>
      </c>
      <c r="C274" s="34" t="str">
        <f>VLOOKUP(D274,[1]apoio_Preços_MGS!$A$6:$B$238,2,FALSE)</f>
        <v>DIGITADOR</v>
      </c>
      <c r="D274" s="35">
        <v>85</v>
      </c>
      <c r="E274" s="33" t="str">
        <f>VLOOKUP(D274,[1]apoio_Preços_MGS!$A$6:$F$238,6,FALSE)</f>
        <v>DIGITADOR (18H ÀS 0H) - ESCALA NOTURNA - 36H</v>
      </c>
      <c r="F274" s="36">
        <f>IFERROR(VLOOKUP(D274,'[1]apoio_cód catmas'!$B$2:$C$863,2,FALSE),0)</f>
        <v>63851</v>
      </c>
      <c r="G274" s="33" t="str">
        <f>IF(H274="N/A",VLOOKUP(F274&amp;40,'[1]apoio_cód catmas'!$A$1:$G$233,4,FALSE),VLOOKUP(F274&amp;H274,'[1]apoio_cód catmas'!$A$1:$G$233,4,FALSE))</f>
        <v>DIGITADOR - NOTURNO (18H AS 0H) - 36H</v>
      </c>
      <c r="H274" s="36">
        <v>36</v>
      </c>
      <c r="I274" s="37">
        <v>0.02</v>
      </c>
      <c r="J274" s="38" t="s">
        <v>46</v>
      </c>
      <c r="K274" s="39">
        <v>35</v>
      </c>
      <c r="L274" s="39">
        <f t="shared" si="113"/>
        <v>2100</v>
      </c>
      <c r="M274" s="40">
        <f>VLOOKUP(D274,[1]apoio_Preços_MGS!$A$6:$AN$238,18,FALSE)</f>
        <v>2132.9023456535779</v>
      </c>
      <c r="N274" s="40">
        <f>VLOOKUP(D274,[1]apoio_Preços_MGS!$A$6:$AN$238,19,FALSE)</f>
        <v>0</v>
      </c>
      <c r="O274" s="40">
        <f>VLOOKUP(D274,[1]apoio_Preços_MGS!$A$6:$AN$238,20,FALSE)</f>
        <v>282.93635872015523</v>
      </c>
      <c r="P274" s="40">
        <f>VLOOKUP(D274,[1]apoio_Preços_MGS!$A$6:$AN$238,21,FALSE)</f>
        <v>0</v>
      </c>
      <c r="Q274" s="40">
        <f>VLOOKUP(D274,[1]apoio_Preços_MGS!$A$6:$AN$238,22,FALSE)</f>
        <v>23.160241768271042</v>
      </c>
      <c r="R274" s="40">
        <f>VLOOKUP(D274,[1]apoio_Preços_MGS!$A$6:$AN$238,23,FALSE)</f>
        <v>0</v>
      </c>
      <c r="S274" s="40">
        <f>VLOOKUP(D274,[1]apoio_Preços_MGS!$A$6:$AN$238,24,FALSE)</f>
        <v>96.276841991307336</v>
      </c>
      <c r="T274" s="40">
        <f>VLOOKUP(D274,[1]apoio_Preços_MGS!$A$6:$AN$238,25,FALSE)</f>
        <v>0</v>
      </c>
      <c r="U274" s="40">
        <f t="shared" si="107"/>
        <v>2535.2757881333114</v>
      </c>
      <c r="V274" s="41">
        <f>VLOOKUP(D274,[1]apoio_Preços_MGS!$A$6:$AN$238,27,FALSE)</f>
        <v>0.81799999999999995</v>
      </c>
      <c r="W274" s="40">
        <f t="shared" si="108"/>
        <v>2073.8555946930487</v>
      </c>
      <c r="X274" s="40">
        <f>VLOOKUP(D274,[1]apoio_Preços_MGS!$A$6:$AN$238,29,FALSE)</f>
        <v>48.37</v>
      </c>
      <c r="Y274" s="40">
        <f>VLOOKUP(D274,[1]apoio_Preços_MGS!$A$6:$AN$238,30,FALSE)</f>
        <v>0</v>
      </c>
      <c r="Z274" s="40">
        <f t="shared" si="116"/>
        <v>48.37</v>
      </c>
      <c r="AA274" s="40">
        <f>VLOOKUP(D274,[1]apoio_Preços_MGS!$A$6:$AN$238,32,FALSE)</f>
        <v>4.0951725036548687</v>
      </c>
      <c r="AB274" s="40">
        <f>VLOOKUP(D274,[1]apoio_Preços_MGS!$A$6:$AN$238,33,FALSE)</f>
        <v>127.31948306595362</v>
      </c>
      <c r="AC274" s="41">
        <f>VLOOKUP(D274,[1]apoio_Preços_MGS!$A$6:$AN$238,34,FALSE)</f>
        <v>0</v>
      </c>
      <c r="AD274" s="40">
        <f>(U274+W274+Z274+AB274+AA274+VLOOKUP(C274,[1]apoio_Prec_Folha!$A:$S,7,FALSE))*AC274</f>
        <v>0</v>
      </c>
      <c r="AE274" s="42">
        <f>VLOOKUP(D274,[1]apoio_Preços_MGS!$A$6:$AN$238,36,FALSE)</f>
        <v>7.0000000000000007E-2</v>
      </c>
      <c r="AF274" s="40">
        <f>(U274+W274+Z274+AB274+AD274+AA274+VLOOKUP(C274,[1]apoio_Prec_Folha!$A:$S,7,FALSE))*AE274</f>
        <v>373.15323837399245</v>
      </c>
      <c r="AG274" s="40">
        <f t="shared" si="117"/>
        <v>5162.0600000000004</v>
      </c>
      <c r="AH274" s="43">
        <f t="shared" si="118"/>
        <v>5816.4</v>
      </c>
      <c r="AI274" s="43">
        <f t="shared" si="119"/>
        <v>203574</v>
      </c>
      <c r="AJ274" s="43">
        <f t="shared" si="120"/>
        <v>12214440</v>
      </c>
      <c r="AK274" s="44">
        <f>VLOOKUP(D274,[1]apoio_Preços_MGS!$A$6:$AN$238,39,FALSE)</f>
        <v>163.63636363636365</v>
      </c>
      <c r="AL274" s="44">
        <f>IF(J274="demais municípios",VLOOKUP(D274,[1]apoio_Preços_MGS!$A$6:$AN$238,39,FALSE),0)</f>
        <v>163.63636363636365</v>
      </c>
      <c r="AM274" s="44">
        <v>0</v>
      </c>
      <c r="AN274" s="45">
        <f t="shared" ref="AN274:AN277" si="135">AK274*K274</f>
        <v>5727.2727272727279</v>
      </c>
      <c r="AO274" s="44">
        <f>VLOOKUP(D274,[1]apoio_Preços_MGS!$A$6:$AN$238,40,FALSE)</f>
        <v>640.36</v>
      </c>
      <c r="AP274" s="44">
        <f>IF(J274="demais municípios",VLOOKUP(D274,[1]apoio_Preços_MGS!$A$6:$AN$238,40,FALSE),0)</f>
        <v>640.36</v>
      </c>
      <c r="AQ274" s="44">
        <v>0</v>
      </c>
      <c r="AR274" s="45">
        <f t="shared" ref="AR274:AR277" si="136">AO274*K274</f>
        <v>22412.600000000002</v>
      </c>
      <c r="AS274" s="45">
        <f t="shared" si="127"/>
        <v>28139.87272727273</v>
      </c>
      <c r="AT274" s="45">
        <f t="shared" si="128"/>
        <v>1688392.3636363638</v>
      </c>
      <c r="AU274" s="62"/>
      <c r="AV274" s="46"/>
      <c r="AW274" s="47"/>
      <c r="AX274" s="48"/>
      <c r="AY274" s="49"/>
      <c r="BA274" s="48"/>
    </row>
    <row r="275" spans="1:53" ht="19.5" customHeight="1" x14ac:dyDescent="0.25">
      <c r="A275" s="33" t="str">
        <f t="shared" si="123"/>
        <v>63851360,03</v>
      </c>
      <c r="B275" s="33" t="str">
        <f t="shared" si="124"/>
        <v>850,03</v>
      </c>
      <c r="C275" s="34" t="str">
        <f>VLOOKUP(D275,[1]apoio_Preços_MGS!$A$6:$B$238,2,FALSE)</f>
        <v>DIGITADOR</v>
      </c>
      <c r="D275" s="35">
        <v>85</v>
      </c>
      <c r="E275" s="33" t="str">
        <f>VLOOKUP(D275,[1]apoio_Preços_MGS!$A$6:$F$238,6,FALSE)</f>
        <v>DIGITADOR (18H ÀS 0H) - ESCALA NOTURNA - 36H</v>
      </c>
      <c r="F275" s="36">
        <f>IFERROR(VLOOKUP(D275,'[1]apoio_cód catmas'!$B$2:$C$863,2,FALSE),0)</f>
        <v>63851</v>
      </c>
      <c r="G275" s="33" t="str">
        <f>IF(H275="N/A",VLOOKUP(F275&amp;40,'[1]apoio_cód catmas'!$A$1:$G$233,4,FALSE),VLOOKUP(F275&amp;H275,'[1]apoio_cód catmas'!$A$1:$G$233,4,FALSE))</f>
        <v>DIGITADOR - NOTURNO (18H AS 0H) - 36H</v>
      </c>
      <c r="H275" s="36">
        <v>36</v>
      </c>
      <c r="I275" s="37">
        <v>0.03</v>
      </c>
      <c r="J275" s="38" t="s">
        <v>46</v>
      </c>
      <c r="K275" s="39">
        <v>29</v>
      </c>
      <c r="L275" s="39">
        <f t="shared" si="113"/>
        <v>1740</v>
      </c>
      <c r="M275" s="40">
        <f>VLOOKUP(D275,[1]apoio_Preços_MGS!$A$6:$AN$238,18,FALSE)</f>
        <v>2132.9023456535779</v>
      </c>
      <c r="N275" s="40">
        <f>VLOOKUP(D275,[1]apoio_Preços_MGS!$A$6:$AN$238,19,FALSE)</f>
        <v>0</v>
      </c>
      <c r="O275" s="40">
        <f>VLOOKUP(D275,[1]apoio_Preços_MGS!$A$6:$AN$238,20,FALSE)</f>
        <v>282.93635872015523</v>
      </c>
      <c r="P275" s="40">
        <f>VLOOKUP(D275,[1]apoio_Preços_MGS!$A$6:$AN$238,21,FALSE)</f>
        <v>0</v>
      </c>
      <c r="Q275" s="40">
        <f>VLOOKUP(D275,[1]apoio_Preços_MGS!$A$6:$AN$238,22,FALSE)</f>
        <v>23.160241768271042</v>
      </c>
      <c r="R275" s="40">
        <f>VLOOKUP(D275,[1]apoio_Preços_MGS!$A$6:$AN$238,23,FALSE)</f>
        <v>0</v>
      </c>
      <c r="S275" s="40">
        <f>VLOOKUP(D275,[1]apoio_Preços_MGS!$A$6:$AN$238,24,FALSE)</f>
        <v>96.276841991307336</v>
      </c>
      <c r="T275" s="40">
        <f>VLOOKUP(D275,[1]apoio_Preços_MGS!$A$6:$AN$238,25,FALSE)</f>
        <v>0</v>
      </c>
      <c r="U275" s="40">
        <f t="shared" si="107"/>
        <v>2535.2757881333114</v>
      </c>
      <c r="V275" s="41">
        <v>0.81799999999999995</v>
      </c>
      <c r="W275" s="40">
        <f t="shared" si="108"/>
        <v>2073.8555946930487</v>
      </c>
      <c r="X275" s="40">
        <f>VLOOKUP(D275,[1]apoio_Preços_MGS!$A$6:$AN$238,29,FALSE)</f>
        <v>48.37</v>
      </c>
      <c r="Y275" s="40">
        <f>VLOOKUP(D275,[1]apoio_Preços_MGS!$A$6:$AN$238,30,FALSE)</f>
        <v>0</v>
      </c>
      <c r="Z275" s="40">
        <f t="shared" si="116"/>
        <v>48.37</v>
      </c>
      <c r="AA275" s="40">
        <f>VLOOKUP(D275,[1]apoio_Preços_MGS!$A$6:$AN$238,32,FALSE)</f>
        <v>4.0951725036548687</v>
      </c>
      <c r="AB275" s="40">
        <f>VLOOKUP(D275,[1]apoio_Preços_MGS!$A$6:$AN$238,33,FALSE)</f>
        <v>127.31948306595362</v>
      </c>
      <c r="AC275" s="41">
        <f>VLOOKUP(D275,[1]apoio_Preços_MGS!$A$6:$AN$238,34,FALSE)</f>
        <v>0</v>
      </c>
      <c r="AD275" s="40">
        <f>(U275+W275+Z275+AB275+AA275+VLOOKUP(C275,[1]apoio_Prec_Folha!$A:$S,7,FALSE))*AC275</f>
        <v>0</v>
      </c>
      <c r="AE275" s="42">
        <f>VLOOKUP(D275,[1]apoio_Preços_MGS!$A$6:$AN$238,36,FALSE)</f>
        <v>7.0000000000000007E-2</v>
      </c>
      <c r="AF275" s="40">
        <f>(U275+W275+Z275+AB275+AD275+AA275+VLOOKUP(C275,[1]apoio_Prec_Folha!$A:$S,7,FALSE))*AE275</f>
        <v>373.15323837399245</v>
      </c>
      <c r="AG275" s="40">
        <f t="shared" si="117"/>
        <v>5162.0600000000004</v>
      </c>
      <c r="AH275" s="43">
        <f t="shared" si="118"/>
        <v>5882.68</v>
      </c>
      <c r="AI275" s="43">
        <f t="shared" si="119"/>
        <v>170597.72</v>
      </c>
      <c r="AJ275" s="43">
        <f t="shared" si="120"/>
        <v>10235863.200000001</v>
      </c>
      <c r="AK275" s="44">
        <f>VLOOKUP(D275,[1]apoio_Preços_MGS!$A$6:$AN$238,39,FALSE)</f>
        <v>163.63636363636365</v>
      </c>
      <c r="AL275" s="44">
        <f>IF(J275="demais municípios",VLOOKUP(D275,[1]apoio_Preços_MGS!$A$6:$AN$238,39,FALSE),0)</f>
        <v>163.63636363636365</v>
      </c>
      <c r="AM275" s="44">
        <v>0</v>
      </c>
      <c r="AN275" s="45">
        <f t="shared" si="135"/>
        <v>4745.454545454546</v>
      </c>
      <c r="AO275" s="44">
        <f>VLOOKUP(D275,[1]apoio_Preços_MGS!$A$6:$AN$238,40,FALSE)</f>
        <v>640.36</v>
      </c>
      <c r="AP275" s="44">
        <f>IF(J275="demais municípios",VLOOKUP(D275,[1]apoio_Preços_MGS!$A$6:$AN$238,40,FALSE),0)</f>
        <v>640.36</v>
      </c>
      <c r="AQ275" s="44">
        <v>0</v>
      </c>
      <c r="AR275" s="45">
        <f t="shared" si="136"/>
        <v>18570.439999999999</v>
      </c>
      <c r="AS275" s="45">
        <f t="shared" si="127"/>
        <v>23315.894545454546</v>
      </c>
      <c r="AT275" s="45">
        <f t="shared" si="128"/>
        <v>1398953.6727272728</v>
      </c>
      <c r="AU275" s="62"/>
      <c r="AV275" s="46"/>
      <c r="AW275" s="47"/>
      <c r="AX275" s="48"/>
      <c r="AY275" s="49"/>
      <c r="BA275" s="48"/>
    </row>
    <row r="276" spans="1:53" ht="19.5" customHeight="1" x14ac:dyDescent="0.25">
      <c r="A276" s="33" t="str">
        <f t="shared" si="123"/>
        <v>63851360,035</v>
      </c>
      <c r="B276" s="33" t="str">
        <f t="shared" si="124"/>
        <v>850,035</v>
      </c>
      <c r="C276" s="34" t="str">
        <f>VLOOKUP(D276,[1]apoio_Preços_MGS!$A$6:$B$238,2,FALSE)</f>
        <v>DIGITADOR</v>
      </c>
      <c r="D276" s="35">
        <v>85</v>
      </c>
      <c r="E276" s="33" t="str">
        <f>VLOOKUP(D276,[1]apoio_Preços_MGS!$A$6:$F$238,6,FALSE)</f>
        <v>DIGITADOR (18H ÀS 0H) - ESCALA NOTURNA - 36H</v>
      </c>
      <c r="F276" s="36">
        <f>IFERROR(VLOOKUP(D276,'[1]apoio_cód catmas'!$B$2:$C$863,2,FALSE),0)</f>
        <v>63851</v>
      </c>
      <c r="G276" s="33" t="str">
        <f>IF(H276="N/A",VLOOKUP(F276&amp;40,'[1]apoio_cód catmas'!$A$1:$G$233,4,FALSE),VLOOKUP(F276&amp;H276,'[1]apoio_cód catmas'!$A$1:$G$233,4,FALSE))</f>
        <v>DIGITADOR - NOTURNO (18H AS 0H) - 36H</v>
      </c>
      <c r="H276" s="36">
        <v>36</v>
      </c>
      <c r="I276" s="37">
        <v>3.5000000000000003E-2</v>
      </c>
      <c r="J276" s="38" t="s">
        <v>46</v>
      </c>
      <c r="K276" s="39">
        <v>8</v>
      </c>
      <c r="L276" s="39">
        <f t="shared" si="113"/>
        <v>480</v>
      </c>
      <c r="M276" s="40">
        <f>VLOOKUP(D276,[1]apoio_Preços_MGS!$A$6:$AN$238,18,FALSE)</f>
        <v>2132.9023456535779</v>
      </c>
      <c r="N276" s="40">
        <f>VLOOKUP(D276,[1]apoio_Preços_MGS!$A$6:$AN$238,19,FALSE)</f>
        <v>0</v>
      </c>
      <c r="O276" s="40">
        <f>VLOOKUP(D276,[1]apoio_Preços_MGS!$A$6:$AN$238,20,FALSE)</f>
        <v>282.93635872015523</v>
      </c>
      <c r="P276" s="40">
        <f>VLOOKUP(D276,[1]apoio_Preços_MGS!$A$6:$AN$238,21,FALSE)</f>
        <v>0</v>
      </c>
      <c r="Q276" s="40">
        <f>VLOOKUP(D276,[1]apoio_Preços_MGS!$A$6:$AN$238,22,FALSE)</f>
        <v>23.160241768271042</v>
      </c>
      <c r="R276" s="40">
        <f>VLOOKUP(D276,[1]apoio_Preços_MGS!$A$6:$AN$238,23,FALSE)</f>
        <v>0</v>
      </c>
      <c r="S276" s="40">
        <f>VLOOKUP(D276,[1]apoio_Preços_MGS!$A$6:$AN$238,24,FALSE)</f>
        <v>96.276841991307336</v>
      </c>
      <c r="T276" s="40">
        <f>VLOOKUP(D276,[1]apoio_Preços_MGS!$A$6:$AN$238,25,FALSE)</f>
        <v>0</v>
      </c>
      <c r="U276" s="40">
        <f t="shared" si="107"/>
        <v>2535.2757881333114</v>
      </c>
      <c r="V276" s="41">
        <v>0.81799999999999995</v>
      </c>
      <c r="W276" s="40">
        <f t="shared" si="108"/>
        <v>2073.8555946930487</v>
      </c>
      <c r="X276" s="40">
        <f>VLOOKUP(D276,[1]apoio_Preços_MGS!$A$6:$AN$238,29,FALSE)</f>
        <v>48.37</v>
      </c>
      <c r="Y276" s="40">
        <f>VLOOKUP(D276,[1]apoio_Preços_MGS!$A$6:$AN$238,30,FALSE)</f>
        <v>0</v>
      </c>
      <c r="Z276" s="40">
        <f t="shared" si="116"/>
        <v>48.37</v>
      </c>
      <c r="AA276" s="40">
        <f>VLOOKUP(D276,[1]apoio_Preços_MGS!$A$6:$AN$238,32,FALSE)</f>
        <v>4.0951725036548687</v>
      </c>
      <c r="AB276" s="40">
        <f>VLOOKUP(D276,[1]apoio_Preços_MGS!$A$6:$AN$238,33,FALSE)</f>
        <v>127.31948306595362</v>
      </c>
      <c r="AC276" s="41">
        <f>VLOOKUP(D276,[1]apoio_Preços_MGS!$A$6:$AN$238,34,FALSE)</f>
        <v>0</v>
      </c>
      <c r="AD276" s="40">
        <f>(U276+W276+Z276+AB276+AA276+VLOOKUP(C276,[1]apoio_Prec_Folha!$A:$S,7,FALSE))*AC276</f>
        <v>0</v>
      </c>
      <c r="AE276" s="42">
        <f>VLOOKUP(D276,[1]apoio_Preços_MGS!$A$6:$AN$238,36,FALSE)</f>
        <v>7.0000000000000007E-2</v>
      </c>
      <c r="AF276" s="40">
        <f>(U276+W276+Z276+AB276+AD276+AA276+VLOOKUP(C276,[1]apoio_Prec_Folha!$A:$S,7,FALSE))*AE276</f>
        <v>373.15323837399245</v>
      </c>
      <c r="AG276" s="40">
        <f t="shared" si="117"/>
        <v>5162.0600000000004</v>
      </c>
      <c r="AH276" s="43">
        <f t="shared" si="118"/>
        <v>5916.39</v>
      </c>
      <c r="AI276" s="43">
        <f t="shared" si="119"/>
        <v>47331.12</v>
      </c>
      <c r="AJ276" s="43">
        <f t="shared" si="120"/>
        <v>2839867.2</v>
      </c>
      <c r="AK276" s="44">
        <f>VLOOKUP(D276,[1]apoio_Preços_MGS!$A$6:$AN$238,39,FALSE)</f>
        <v>163.63636363636365</v>
      </c>
      <c r="AL276" s="44">
        <f>IF(J276="demais municípios",VLOOKUP(D276,[1]apoio_Preços_MGS!$A$6:$AN$238,39,FALSE),0)</f>
        <v>163.63636363636365</v>
      </c>
      <c r="AM276" s="44">
        <v>0</v>
      </c>
      <c r="AN276" s="45">
        <f t="shared" si="135"/>
        <v>1309.0909090909092</v>
      </c>
      <c r="AO276" s="44">
        <f>VLOOKUP(D276,[1]apoio_Preços_MGS!$A$6:$AN$238,40,FALSE)</f>
        <v>640.36</v>
      </c>
      <c r="AP276" s="44">
        <f>IF(J276="demais municípios",VLOOKUP(D276,[1]apoio_Preços_MGS!$A$6:$AN$238,40,FALSE),0)</f>
        <v>640.36</v>
      </c>
      <c r="AQ276" s="44">
        <v>0</v>
      </c>
      <c r="AR276" s="45">
        <f t="shared" si="136"/>
        <v>5122.88</v>
      </c>
      <c r="AS276" s="45">
        <f t="shared" si="127"/>
        <v>6431.9709090909091</v>
      </c>
      <c r="AT276" s="45">
        <f t="shared" si="128"/>
        <v>385918.25454545452</v>
      </c>
      <c r="AU276" s="62"/>
      <c r="AV276" s="46"/>
      <c r="AW276" s="47"/>
      <c r="AX276" s="48"/>
      <c r="AY276" s="49"/>
      <c r="BA276" s="48"/>
    </row>
    <row r="277" spans="1:53" ht="19.5" customHeight="1" x14ac:dyDescent="0.25">
      <c r="A277" s="33" t="str">
        <f t="shared" si="123"/>
        <v>63851360,05</v>
      </c>
      <c r="B277" s="33" t="str">
        <f t="shared" si="124"/>
        <v>850,05</v>
      </c>
      <c r="C277" s="34" t="str">
        <f>VLOOKUP(D277,[1]apoio_Preços_MGS!$A$6:$B$238,2,FALSE)</f>
        <v>DIGITADOR</v>
      </c>
      <c r="D277" s="35">
        <v>85</v>
      </c>
      <c r="E277" s="33" t="str">
        <f>VLOOKUP(D277,[1]apoio_Preços_MGS!$A$6:$F$238,6,FALSE)</f>
        <v>DIGITADOR (18H ÀS 0H) - ESCALA NOTURNA - 36H</v>
      </c>
      <c r="F277" s="36">
        <f>IFERROR(VLOOKUP(D277,'[1]apoio_cód catmas'!$B$2:$C$863,2,FALSE),0)</f>
        <v>63851</v>
      </c>
      <c r="G277" s="33" t="str">
        <f>IF(H277="N/A",VLOOKUP(F277&amp;40,'[1]apoio_cód catmas'!$A$1:$G$233,4,FALSE),VLOOKUP(F277&amp;H277,'[1]apoio_cód catmas'!$A$1:$G$233,4,FALSE))</f>
        <v>DIGITADOR - NOTURNO (18H AS 0H) - 36H</v>
      </c>
      <c r="H277" s="36">
        <v>36</v>
      </c>
      <c r="I277" s="37">
        <v>0.05</v>
      </c>
      <c r="J277" s="38" t="s">
        <v>46</v>
      </c>
      <c r="K277" s="39">
        <f>29-K278</f>
        <v>10</v>
      </c>
      <c r="L277" s="39">
        <f t="shared" si="113"/>
        <v>600</v>
      </c>
      <c r="M277" s="40">
        <f>VLOOKUP(D277,[1]apoio_Preços_MGS!$A$6:$AN$238,18,FALSE)</f>
        <v>2132.9023456535779</v>
      </c>
      <c r="N277" s="40">
        <f>VLOOKUP(D277,[1]apoio_Preços_MGS!$A$6:$AN$238,19,FALSE)</f>
        <v>0</v>
      </c>
      <c r="O277" s="40">
        <f>VLOOKUP(D277,[1]apoio_Preços_MGS!$A$6:$AN$238,20,FALSE)</f>
        <v>282.93635872015523</v>
      </c>
      <c r="P277" s="40">
        <f>VLOOKUP(D277,[1]apoio_Preços_MGS!$A$6:$AN$238,21,FALSE)</f>
        <v>0</v>
      </c>
      <c r="Q277" s="40">
        <f>VLOOKUP(D277,[1]apoio_Preços_MGS!$A$6:$AN$238,22,FALSE)</f>
        <v>23.160241768271042</v>
      </c>
      <c r="R277" s="40">
        <f>VLOOKUP(D277,[1]apoio_Preços_MGS!$A$6:$AN$238,23,FALSE)</f>
        <v>0</v>
      </c>
      <c r="S277" s="40">
        <f>VLOOKUP(D277,[1]apoio_Preços_MGS!$A$6:$AN$238,24,FALSE)</f>
        <v>96.276841991307336</v>
      </c>
      <c r="T277" s="40">
        <f>VLOOKUP(D277,[1]apoio_Preços_MGS!$A$6:$AN$238,25,FALSE)</f>
        <v>0</v>
      </c>
      <c r="U277" s="40">
        <f t="shared" si="107"/>
        <v>2535.2757881333114</v>
      </c>
      <c r="V277" s="41">
        <v>0.81799999999999995</v>
      </c>
      <c r="W277" s="40">
        <f t="shared" si="108"/>
        <v>2073.8555946930487</v>
      </c>
      <c r="X277" s="40">
        <f>VLOOKUP(D277,[1]apoio_Preços_MGS!$A$6:$AN$238,29,FALSE)</f>
        <v>48.37</v>
      </c>
      <c r="Y277" s="40">
        <f>VLOOKUP(D277,[1]apoio_Preços_MGS!$A$6:$AN$238,30,FALSE)</f>
        <v>0</v>
      </c>
      <c r="Z277" s="40">
        <f t="shared" si="116"/>
        <v>48.37</v>
      </c>
      <c r="AA277" s="40">
        <f>VLOOKUP(D277,[1]apoio_Preços_MGS!$A$6:$AN$238,32,FALSE)</f>
        <v>4.0951725036548687</v>
      </c>
      <c r="AB277" s="40">
        <f>VLOOKUP(D277,[1]apoio_Preços_MGS!$A$6:$AN$238,33,FALSE)</f>
        <v>127.31948306595362</v>
      </c>
      <c r="AC277" s="41">
        <f>VLOOKUP(D277,[1]apoio_Preços_MGS!$A$6:$AN$238,34,FALSE)</f>
        <v>0</v>
      </c>
      <c r="AD277" s="40">
        <f>(U277+W277+Z277+AB277+AA277+VLOOKUP(C277,[1]apoio_Prec_Folha!$A:$S,7,FALSE))*AC277</f>
        <v>0</v>
      </c>
      <c r="AE277" s="42">
        <f>VLOOKUP(D277,[1]apoio_Preços_MGS!$A$6:$AN$238,36,FALSE)</f>
        <v>7.0000000000000007E-2</v>
      </c>
      <c r="AF277" s="40">
        <f>(U277+W277+Z277+AB277+AD277+AA277+VLOOKUP(C277,[1]apoio_Prec_Folha!$A:$S,7,FALSE))*AE277</f>
        <v>373.15323837399245</v>
      </c>
      <c r="AG277" s="40">
        <f t="shared" si="117"/>
        <v>5162.0600000000004</v>
      </c>
      <c r="AH277" s="43">
        <f t="shared" si="118"/>
        <v>6019.89</v>
      </c>
      <c r="AI277" s="43">
        <f t="shared" si="119"/>
        <v>60198.9</v>
      </c>
      <c r="AJ277" s="43">
        <f t="shared" si="120"/>
        <v>3611934</v>
      </c>
      <c r="AK277" s="44">
        <f>VLOOKUP(D277,[1]apoio_Preços_MGS!$A$6:$AN$238,39,FALSE)</f>
        <v>163.63636363636365</v>
      </c>
      <c r="AL277" s="44">
        <f>IF(J277="demais municípios",VLOOKUP(D277,[1]apoio_Preços_MGS!$A$6:$AN$238,39,FALSE),0)</f>
        <v>163.63636363636365</v>
      </c>
      <c r="AM277" s="44">
        <v>0</v>
      </c>
      <c r="AN277" s="45">
        <f t="shared" si="135"/>
        <v>1636.3636363636365</v>
      </c>
      <c r="AO277" s="44">
        <f>VLOOKUP(D277,[1]apoio_Preços_MGS!$A$6:$AN$238,40,FALSE)</f>
        <v>640.36</v>
      </c>
      <c r="AP277" s="44">
        <f>IF(J277="demais municípios",VLOOKUP(D277,[1]apoio_Preços_MGS!$A$6:$AN$238,40,FALSE),0)</f>
        <v>640.36</v>
      </c>
      <c r="AQ277" s="44">
        <v>0</v>
      </c>
      <c r="AR277" s="45">
        <f t="shared" si="136"/>
        <v>6403.6</v>
      </c>
      <c r="AS277" s="45">
        <f t="shared" si="127"/>
        <v>8039.9636363636364</v>
      </c>
      <c r="AT277" s="45">
        <f t="shared" si="128"/>
        <v>482397.81818181818</v>
      </c>
      <c r="AU277" s="62"/>
      <c r="AV277" s="46"/>
      <c r="AW277" s="47"/>
      <c r="AX277" s="48"/>
      <c r="AY277" s="49"/>
      <c r="BA277" s="48"/>
    </row>
    <row r="278" spans="1:53" ht="19.5" customHeight="1" x14ac:dyDescent="0.25">
      <c r="A278" s="33" t="str">
        <f t="shared" si="123"/>
        <v>63851360,05</v>
      </c>
      <c r="B278" s="33" t="str">
        <f t="shared" si="124"/>
        <v>850,05</v>
      </c>
      <c r="C278" s="34" t="str">
        <f>VLOOKUP(D278,[1]apoio_Preços_MGS!$A$6:$B$238,2,FALSE)</f>
        <v>DIGITADOR</v>
      </c>
      <c r="D278" s="35">
        <v>85</v>
      </c>
      <c r="E278" s="33" t="str">
        <f>VLOOKUP(D278,[1]apoio_Preços_MGS!$A$6:$F$238,6,FALSE)</f>
        <v>DIGITADOR (18H ÀS 0H) - ESCALA NOTURNA - 36H</v>
      </c>
      <c r="F278" s="36">
        <f>IFERROR(VLOOKUP(D278,'[1]apoio_cód catmas'!$B$2:$C$863,2,FALSE),0)</f>
        <v>63851</v>
      </c>
      <c r="G278" s="33" t="str">
        <f>IF(H278="N/A",VLOOKUP(F278&amp;40,'[1]apoio_cód catmas'!$A$1:$G$233,4,FALSE),VLOOKUP(F278&amp;H278,'[1]apoio_cód catmas'!$A$1:$G$233,4,FALSE))</f>
        <v>DIGITADOR - NOTURNO (18H AS 0H) - 36H</v>
      </c>
      <c r="H278" s="36">
        <v>36</v>
      </c>
      <c r="I278" s="37">
        <v>0.05</v>
      </c>
      <c r="J278" s="38" t="s">
        <v>47</v>
      </c>
      <c r="K278" s="39">
        <v>19</v>
      </c>
      <c r="L278" s="39">
        <f t="shared" si="113"/>
        <v>1140</v>
      </c>
      <c r="M278" s="40">
        <f>VLOOKUP(D278,[1]apoio_Preços_MGS!$A$6:$AN$238,18,FALSE)</f>
        <v>2132.9023456535779</v>
      </c>
      <c r="N278" s="40">
        <f>VLOOKUP(D278,[1]apoio_Preços_MGS!$A$6:$AN$238,19,FALSE)</f>
        <v>0</v>
      </c>
      <c r="O278" s="40">
        <f>VLOOKUP(D278,[1]apoio_Preços_MGS!$A$6:$AN$238,20,FALSE)</f>
        <v>282.93635872015523</v>
      </c>
      <c r="P278" s="40">
        <f>VLOOKUP(D278,[1]apoio_Preços_MGS!$A$6:$AN$238,21,FALSE)</f>
        <v>0</v>
      </c>
      <c r="Q278" s="40">
        <f>VLOOKUP(D278,[1]apoio_Preços_MGS!$A$6:$AN$238,22,FALSE)</f>
        <v>23.160241768271042</v>
      </c>
      <c r="R278" s="40">
        <f>VLOOKUP(D278,[1]apoio_Preços_MGS!$A$6:$AN$238,23,FALSE)</f>
        <v>0</v>
      </c>
      <c r="S278" s="40">
        <f>VLOOKUP(D278,[1]apoio_Preços_MGS!$A$6:$AN$238,24,FALSE)</f>
        <v>96.276841991307336</v>
      </c>
      <c r="T278" s="40">
        <f>VLOOKUP(D278,[1]apoio_Preços_MGS!$A$6:$AN$238,25,FALSE)</f>
        <v>0</v>
      </c>
      <c r="U278" s="40">
        <f t="shared" si="107"/>
        <v>2535.2757881333114</v>
      </c>
      <c r="V278" s="41">
        <v>0.81799999999999995</v>
      </c>
      <c r="W278" s="40">
        <f t="shared" si="108"/>
        <v>2073.8555946930487</v>
      </c>
      <c r="X278" s="40">
        <f>VLOOKUP(D278,[1]apoio_Preços_MGS!$A$6:$AN$238,29,FALSE)</f>
        <v>48.37</v>
      </c>
      <c r="Y278" s="40">
        <f>VLOOKUP(D278,[1]apoio_Preços_MGS!$A$6:$AN$238,30,FALSE)</f>
        <v>0</v>
      </c>
      <c r="Z278" s="40">
        <f t="shared" si="116"/>
        <v>48.37</v>
      </c>
      <c r="AA278" s="40">
        <f>VLOOKUP(D278,[1]apoio_Preços_MGS!$A$6:$AN$238,32,FALSE)</f>
        <v>4.0951725036548687</v>
      </c>
      <c r="AB278" s="40">
        <f>VLOOKUP(D278,[1]apoio_Preços_MGS!$A$6:$AN$238,33,FALSE)</f>
        <v>127.31948306595362</v>
      </c>
      <c r="AC278" s="41">
        <f>VLOOKUP(D278,[1]apoio_Preços_MGS!$A$6:$AN$238,34,FALSE)</f>
        <v>0</v>
      </c>
      <c r="AD278" s="40">
        <f>(U278+W278+Z278+AB278+AA278+VLOOKUP(C278,[1]apoio_Prec_Folha!$A:$S,7,FALSE))*AC278</f>
        <v>0</v>
      </c>
      <c r="AE278" s="42">
        <f>VLOOKUP(D278,[1]apoio_Preços_MGS!$A$6:$AN$238,36,FALSE)</f>
        <v>7.0000000000000007E-2</v>
      </c>
      <c r="AF278" s="40">
        <f>(U278+W278+Z278+AB278+AD278+AA278+VLOOKUP(C278,[1]apoio_Prec_Folha!$A:$S,7,FALSE))*AE278</f>
        <v>373.15323837399245</v>
      </c>
      <c r="AG278" s="40">
        <f t="shared" si="117"/>
        <v>5162.0600000000004</v>
      </c>
      <c r="AH278" s="43">
        <f t="shared" si="118"/>
        <v>6019.89</v>
      </c>
      <c r="AI278" s="43">
        <f t="shared" si="119"/>
        <v>114377.91</v>
      </c>
      <c r="AJ278" s="43">
        <f t="shared" si="120"/>
        <v>6862674.6000000006</v>
      </c>
      <c r="AK278" s="44">
        <f>VLOOKUP(D278,[1]apoio_Preços_MGS!$A$6:$AN$238,39,FALSE)</f>
        <v>163.63636363636365</v>
      </c>
      <c r="AL278" s="44">
        <f>IF(J278="demais municípios",VLOOKUP(D278,[1]apoio_Preços_MGS!$A$6:$AN$238,39,FALSE),0)</f>
        <v>0</v>
      </c>
      <c r="AM278" s="44">
        <f>TRUNC(ROUND(($I278)/(1-($I278)),5)*VLOOKUP(D278,[1]apoio_Preços_MGS!$A$6:$AN$238,39,FALSE)+VLOOKUP(D278,[1]apoio_Preços_MGS!$A$6:$AN$238,39,FALSE),2)</f>
        <v>172.24</v>
      </c>
      <c r="AN278" s="45">
        <f t="shared" si="129"/>
        <v>3272.5600000000004</v>
      </c>
      <c r="AO278" s="44">
        <f>VLOOKUP(D278,[1]apoio_Preços_MGS!$A$6:$AN$238,40,FALSE)</f>
        <v>640.36</v>
      </c>
      <c r="AP278" s="44">
        <f>IF(J278="demais municípios",VLOOKUP(D278,[1]apoio_Preços_MGS!$A$6:$AN$238,40,FALSE),0)</f>
        <v>0</v>
      </c>
      <c r="AQ278" s="44">
        <f>TRUNC(ROUND(($I278)/(1-($I278)),5)*VLOOKUP(D278,[1]apoio_Preços_MGS!$A$6:$AN$238,40,FALSE)+VLOOKUP(D278,[1]apoio_Preços_MGS!$A$6:$AN$238,40,FALSE),2)</f>
        <v>674.06</v>
      </c>
      <c r="AR278" s="45">
        <f t="shared" si="130"/>
        <v>12807.14</v>
      </c>
      <c r="AS278" s="45">
        <f t="shared" si="127"/>
        <v>16079.7</v>
      </c>
      <c r="AT278" s="45">
        <f t="shared" si="128"/>
        <v>964782</v>
      </c>
      <c r="AU278" s="62"/>
      <c r="AV278" s="46"/>
      <c r="AW278" s="47"/>
      <c r="AX278" s="48"/>
      <c r="AY278" s="49"/>
      <c r="BA278" s="48"/>
    </row>
    <row r="279" spans="1:53" ht="19.5" customHeight="1" x14ac:dyDescent="0.25">
      <c r="A279" s="33" t="str">
        <f t="shared" si="123"/>
        <v>63681440,035</v>
      </c>
      <c r="B279" s="33" t="str">
        <f t="shared" si="124"/>
        <v>12140,035</v>
      </c>
      <c r="C279" s="34" t="str">
        <f>VLOOKUP(D279,[1]apoio_Preços_MGS!$A$6:$B$238,2,FALSE)</f>
        <v>EDUCADOR INFANTIL</v>
      </c>
      <c r="D279" s="35">
        <v>1214</v>
      </c>
      <c r="E279" s="33" t="str">
        <f>VLOOKUP(D279,[1]apoio_Preços_MGS!$A$6:$F$238,6,FALSE)</f>
        <v>EDUCADOR INFANTIL - DIARISTA DIURNO - 44H</v>
      </c>
      <c r="F279" s="36">
        <f>IFERROR(VLOOKUP(D279,'[1]apoio_cód catmas'!$B$2:$C$863,2,FALSE),0)</f>
        <v>63681</v>
      </c>
      <c r="G279" s="33" t="str">
        <f>IF(H279="N/A",VLOOKUP(F279&amp;40,'[1]apoio_cód catmas'!$A$1:$G$233,4,FALSE),VLOOKUP(F279&amp;H279,'[1]apoio_cód catmas'!$A$1:$G$233,4,FALSE))</f>
        <v>EDUCADOR INFANTIL - 44 H (EXCETO SEE)</v>
      </c>
      <c r="H279" s="36">
        <v>44</v>
      </c>
      <c r="I279" s="37">
        <v>3.5000000000000003E-2</v>
      </c>
      <c r="J279" s="38" t="s">
        <v>46</v>
      </c>
      <c r="K279" s="39">
        <v>18</v>
      </c>
      <c r="L279" s="39">
        <f t="shared" si="113"/>
        <v>1080</v>
      </c>
      <c r="M279" s="40">
        <f>VLOOKUP(D279,[1]apoio_Preços_MGS!$A$6:$AN$238,18,FALSE)</f>
        <v>2415.4769740259735</v>
      </c>
      <c r="N279" s="40">
        <f>VLOOKUP(D279,[1]apoio_Preços_MGS!$A$6:$AN$238,19,FALSE)</f>
        <v>0</v>
      </c>
      <c r="O279" s="40">
        <f>VLOOKUP(D279,[1]apoio_Preços_MGS!$A$6:$AN$238,20,FALSE)</f>
        <v>0</v>
      </c>
      <c r="P279" s="40">
        <f>VLOOKUP(D279,[1]apoio_Preços_MGS!$A$6:$AN$238,21,FALSE)</f>
        <v>0</v>
      </c>
      <c r="Q279" s="40">
        <f>VLOOKUP(D279,[1]apoio_Preços_MGS!$A$6:$AN$238,22,FALSE)</f>
        <v>0</v>
      </c>
      <c r="R279" s="40">
        <f>VLOOKUP(D279,[1]apoio_Preços_MGS!$A$6:$AN$238,23,FALSE)</f>
        <v>0</v>
      </c>
      <c r="S279" s="40">
        <f>VLOOKUP(D279,[1]apoio_Preços_MGS!$A$6:$AN$238,24,FALSE)</f>
        <v>0</v>
      </c>
      <c r="T279" s="40">
        <f>VLOOKUP(D279,[1]apoio_Preços_MGS!$A$6:$AN$238,25,FALSE)</f>
        <v>0</v>
      </c>
      <c r="U279" s="40">
        <f t="shared" si="107"/>
        <v>2415.4769740259735</v>
      </c>
      <c r="V279" s="41">
        <v>0.81799999999999995</v>
      </c>
      <c r="W279" s="40">
        <f t="shared" si="108"/>
        <v>1975.8601647532462</v>
      </c>
      <c r="X279" s="40">
        <f>VLOOKUP(D279,[1]apoio_Preços_MGS!$A$6:$AN$238,29,FALSE)</f>
        <v>9.27</v>
      </c>
      <c r="Y279" s="40">
        <f>VLOOKUP(D279,[1]apoio_Preços_MGS!$A$6:$AN$238,30,FALSE)</f>
        <v>5.7163636363636376</v>
      </c>
      <c r="Z279" s="40">
        <f t="shared" si="116"/>
        <v>14.986363636363638</v>
      </c>
      <c r="AA279" s="40">
        <f>VLOOKUP(D279,[1]apoio_Preços_MGS!$A$6:$AN$238,32,FALSE)</f>
        <v>4.6377157901298691</v>
      </c>
      <c r="AB279" s="40">
        <f>VLOOKUP(D279,[1]apoio_Preços_MGS!$A$6:$AN$238,33,FALSE)</f>
        <v>201.60805194805195</v>
      </c>
      <c r="AC279" s="41">
        <f>VLOOKUP(D279,[1]apoio_Preços_MGS!$A$6:$AN$238,34,FALSE)</f>
        <v>0</v>
      </c>
      <c r="AD279" s="40">
        <f>(U279+W279+Z279+AB279+AA279+VLOOKUP(C279,[1]apoio_Prec_Folha!$A:$S,7,FALSE))*AC279</f>
        <v>0</v>
      </c>
      <c r="AE279" s="42">
        <f>VLOOKUP(D279,[1]apoio_Preços_MGS!$A$6:$AN$238,36,FALSE)</f>
        <v>7.0000000000000007E-2</v>
      </c>
      <c r="AF279" s="40">
        <f>(U279+W279+Z279+AB279+AD279+AA279+VLOOKUP(C279,[1]apoio_Prec_Folha!$A:$S,7,FALSE))*AE279</f>
        <v>361.49044891076363</v>
      </c>
      <c r="AG279" s="40">
        <f t="shared" si="117"/>
        <v>4974.05</v>
      </c>
      <c r="AH279" s="43">
        <f t="shared" si="118"/>
        <v>5700.9</v>
      </c>
      <c r="AI279" s="43">
        <f t="shared" si="119"/>
        <v>102616.2</v>
      </c>
      <c r="AJ279" s="43">
        <f t="shared" si="120"/>
        <v>6156972</v>
      </c>
      <c r="AK279" s="44">
        <f>VLOOKUP(D279,[1]apoio_Preços_MGS!$A$6:$AN$238,39,FALSE)</f>
        <v>200.00000000000003</v>
      </c>
      <c r="AL279" s="44">
        <f>IF(J279="demais municípios",VLOOKUP(D279,[1]apoio_Preços_MGS!$A$6:$AN$238,39,FALSE),0)</f>
        <v>200.00000000000003</v>
      </c>
      <c r="AM279" s="44">
        <v>0</v>
      </c>
      <c r="AN279" s="45">
        <f t="shared" ref="AN279:AN280" si="137">AK279*K279</f>
        <v>3600.0000000000005</v>
      </c>
      <c r="AO279" s="44">
        <f>VLOOKUP(D279,[1]apoio_Preços_MGS!$A$6:$AN$238,40,FALSE)</f>
        <v>551.58000000000004</v>
      </c>
      <c r="AP279" s="44">
        <f>IF(J279="demais municípios",VLOOKUP(D279,[1]apoio_Preços_MGS!$A$6:$AN$238,40,FALSE),0)</f>
        <v>551.58000000000004</v>
      </c>
      <c r="AQ279" s="44">
        <v>0</v>
      </c>
      <c r="AR279" s="45">
        <f t="shared" ref="AR279:AR280" si="138">AO279*K279</f>
        <v>9928.44</v>
      </c>
      <c r="AS279" s="45">
        <f t="shared" si="127"/>
        <v>13528.44</v>
      </c>
      <c r="AT279" s="45">
        <f t="shared" si="128"/>
        <v>811706.4</v>
      </c>
      <c r="AU279" s="62"/>
      <c r="AV279" s="46"/>
      <c r="AW279" s="47"/>
      <c r="AX279" s="48"/>
      <c r="AY279" s="49"/>
      <c r="BA279" s="48"/>
    </row>
    <row r="280" spans="1:53" ht="19.5" customHeight="1" x14ac:dyDescent="0.25">
      <c r="A280" s="33" t="str">
        <f t="shared" si="123"/>
        <v>63681440,05</v>
      </c>
      <c r="B280" s="33" t="str">
        <f t="shared" si="124"/>
        <v>12140,05</v>
      </c>
      <c r="C280" s="34" t="str">
        <f>VLOOKUP(D280,[1]apoio_Preços_MGS!$A$6:$B$238,2,FALSE)</f>
        <v>EDUCADOR INFANTIL</v>
      </c>
      <c r="D280" s="35">
        <v>1214</v>
      </c>
      <c r="E280" s="33" t="str">
        <f>VLOOKUP(D280,[1]apoio_Preços_MGS!$A$6:$F$238,6,FALSE)</f>
        <v>EDUCADOR INFANTIL - DIARISTA DIURNO - 44H</v>
      </c>
      <c r="F280" s="36">
        <f>IFERROR(VLOOKUP(D280,'[1]apoio_cód catmas'!$B$2:$C$863,2,FALSE),0)</f>
        <v>63681</v>
      </c>
      <c r="G280" s="33" t="str">
        <f>IF(H280="N/A",VLOOKUP(F280&amp;40,'[1]apoio_cód catmas'!$A$1:$G$233,4,FALSE),VLOOKUP(F280&amp;H280,'[1]apoio_cód catmas'!$A$1:$G$233,4,FALSE))</f>
        <v>EDUCADOR INFANTIL - 44 H (EXCETO SEE)</v>
      </c>
      <c r="H280" s="36">
        <v>44</v>
      </c>
      <c r="I280" s="37">
        <v>0.05</v>
      </c>
      <c r="J280" s="38" t="s">
        <v>46</v>
      </c>
      <c r="K280" s="39">
        <f>76-K281</f>
        <v>14</v>
      </c>
      <c r="L280" s="39">
        <f t="shared" si="113"/>
        <v>840</v>
      </c>
      <c r="M280" s="40">
        <f>VLOOKUP(D280,[1]apoio_Preços_MGS!$A$6:$AN$238,18,FALSE)</f>
        <v>2415.4769740259735</v>
      </c>
      <c r="N280" s="40">
        <f>VLOOKUP(D280,[1]apoio_Preços_MGS!$A$6:$AN$238,19,FALSE)</f>
        <v>0</v>
      </c>
      <c r="O280" s="40">
        <f>VLOOKUP(D280,[1]apoio_Preços_MGS!$A$6:$AN$238,20,FALSE)</f>
        <v>0</v>
      </c>
      <c r="P280" s="40">
        <f>VLOOKUP(D280,[1]apoio_Preços_MGS!$A$6:$AN$238,21,FALSE)</f>
        <v>0</v>
      </c>
      <c r="Q280" s="40">
        <f>VLOOKUP(D280,[1]apoio_Preços_MGS!$A$6:$AN$238,22,FALSE)</f>
        <v>0</v>
      </c>
      <c r="R280" s="40">
        <f>VLOOKUP(D280,[1]apoio_Preços_MGS!$A$6:$AN$238,23,FALSE)</f>
        <v>0</v>
      </c>
      <c r="S280" s="40">
        <f>VLOOKUP(D280,[1]apoio_Preços_MGS!$A$6:$AN$238,24,FALSE)</f>
        <v>0</v>
      </c>
      <c r="T280" s="40">
        <f>VLOOKUP(D280,[1]apoio_Preços_MGS!$A$6:$AN$238,25,FALSE)</f>
        <v>0</v>
      </c>
      <c r="U280" s="40">
        <f t="shared" si="107"/>
        <v>2415.4769740259735</v>
      </c>
      <c r="V280" s="41">
        <v>0.81799999999999995</v>
      </c>
      <c r="W280" s="40">
        <f t="shared" si="108"/>
        <v>1975.8601647532462</v>
      </c>
      <c r="X280" s="40">
        <f>VLOOKUP(D280,[1]apoio_Preços_MGS!$A$6:$AN$238,29,FALSE)</f>
        <v>9.27</v>
      </c>
      <c r="Y280" s="40">
        <f>VLOOKUP(D280,[1]apoio_Preços_MGS!$A$6:$AN$238,30,FALSE)</f>
        <v>5.7163636363636376</v>
      </c>
      <c r="Z280" s="40">
        <f t="shared" si="116"/>
        <v>14.986363636363638</v>
      </c>
      <c r="AA280" s="40">
        <f>VLOOKUP(D280,[1]apoio_Preços_MGS!$A$6:$AN$238,32,FALSE)</f>
        <v>4.6377157901298691</v>
      </c>
      <c r="AB280" s="40">
        <f>VLOOKUP(D280,[1]apoio_Preços_MGS!$A$6:$AN$238,33,FALSE)</f>
        <v>201.60805194805195</v>
      </c>
      <c r="AC280" s="41">
        <f>VLOOKUP(D280,[1]apoio_Preços_MGS!$A$6:$AN$238,34,FALSE)</f>
        <v>0</v>
      </c>
      <c r="AD280" s="40">
        <f>(U280+W280+Z280+AB280+AA280+VLOOKUP(C280,[1]apoio_Prec_Folha!$A:$S,7,FALSE))*AC280</f>
        <v>0</v>
      </c>
      <c r="AE280" s="42">
        <f>VLOOKUP(D280,[1]apoio_Preços_MGS!$A$6:$AN$238,36,FALSE)</f>
        <v>7.0000000000000007E-2</v>
      </c>
      <c r="AF280" s="40">
        <f>(U280+W280+Z280+AB280+AD280+AA280+VLOOKUP(C280,[1]apoio_Prec_Folha!$A:$S,7,FALSE))*AE280</f>
        <v>361.49044891076363</v>
      </c>
      <c r="AG280" s="40">
        <f t="shared" si="117"/>
        <v>4974.05</v>
      </c>
      <c r="AH280" s="43">
        <f t="shared" si="118"/>
        <v>5800.63</v>
      </c>
      <c r="AI280" s="43">
        <f t="shared" si="119"/>
        <v>81208.820000000007</v>
      </c>
      <c r="AJ280" s="43">
        <f t="shared" si="120"/>
        <v>4872529.2</v>
      </c>
      <c r="AK280" s="44">
        <f>VLOOKUP(D280,[1]apoio_Preços_MGS!$A$6:$AN$238,39,FALSE)</f>
        <v>200.00000000000003</v>
      </c>
      <c r="AL280" s="44">
        <f>IF(J280="demais municípios",VLOOKUP(D280,[1]apoio_Preços_MGS!$A$6:$AN$238,39,FALSE),0)</f>
        <v>200.00000000000003</v>
      </c>
      <c r="AM280" s="44">
        <v>0</v>
      </c>
      <c r="AN280" s="45">
        <f t="shared" si="137"/>
        <v>2800.0000000000005</v>
      </c>
      <c r="AO280" s="44">
        <f>VLOOKUP(D280,[1]apoio_Preços_MGS!$A$6:$AN$238,40,FALSE)</f>
        <v>551.58000000000004</v>
      </c>
      <c r="AP280" s="44">
        <f>IF(J280="demais municípios",VLOOKUP(D280,[1]apoio_Preços_MGS!$A$6:$AN$238,40,FALSE),0)</f>
        <v>551.58000000000004</v>
      </c>
      <c r="AQ280" s="44">
        <v>0</v>
      </c>
      <c r="AR280" s="45">
        <f t="shared" si="138"/>
        <v>7722.1200000000008</v>
      </c>
      <c r="AS280" s="45">
        <f t="shared" si="127"/>
        <v>10522.12</v>
      </c>
      <c r="AT280" s="45">
        <f t="shared" si="128"/>
        <v>631327.20000000007</v>
      </c>
      <c r="AU280" s="62"/>
      <c r="AV280" s="46"/>
      <c r="AW280" s="47"/>
      <c r="AX280" s="48"/>
      <c r="AY280" s="49"/>
      <c r="BA280" s="48"/>
    </row>
    <row r="281" spans="1:53" ht="19.5" customHeight="1" x14ac:dyDescent="0.25">
      <c r="A281" s="33" t="str">
        <f t="shared" si="123"/>
        <v>63681440,05</v>
      </c>
      <c r="B281" s="33" t="str">
        <f t="shared" si="124"/>
        <v>12140,05</v>
      </c>
      <c r="C281" s="34" t="str">
        <f>VLOOKUP(D281,[1]apoio_Preços_MGS!$A$6:$B$238,2,FALSE)</f>
        <v>EDUCADOR INFANTIL</v>
      </c>
      <c r="D281" s="35">
        <v>1214</v>
      </c>
      <c r="E281" s="33" t="str">
        <f>VLOOKUP(D281,[1]apoio_Preços_MGS!$A$6:$F$238,6,FALSE)</f>
        <v>EDUCADOR INFANTIL - DIARISTA DIURNO - 44H</v>
      </c>
      <c r="F281" s="36">
        <f>IFERROR(VLOOKUP(D281,'[1]apoio_cód catmas'!$B$2:$C$863,2,FALSE),0)</f>
        <v>63681</v>
      </c>
      <c r="G281" s="33" t="str">
        <f>IF(H281="N/A",VLOOKUP(F281&amp;40,'[1]apoio_cód catmas'!$A$1:$G$233,4,FALSE),VLOOKUP(F281&amp;H281,'[1]apoio_cód catmas'!$A$1:$G$233,4,FALSE))</f>
        <v>EDUCADOR INFANTIL - 44 H (EXCETO SEE)</v>
      </c>
      <c r="H281" s="36">
        <v>44</v>
      </c>
      <c r="I281" s="37">
        <v>0.05</v>
      </c>
      <c r="J281" s="38" t="s">
        <v>47</v>
      </c>
      <c r="K281" s="39">
        <v>62</v>
      </c>
      <c r="L281" s="39">
        <f t="shared" si="113"/>
        <v>3720</v>
      </c>
      <c r="M281" s="40">
        <f>VLOOKUP(D281,[1]apoio_Preços_MGS!$A$6:$AN$238,18,FALSE)</f>
        <v>2415.4769740259735</v>
      </c>
      <c r="N281" s="40">
        <f>VLOOKUP(D281,[1]apoio_Preços_MGS!$A$6:$AN$238,19,FALSE)</f>
        <v>0</v>
      </c>
      <c r="O281" s="40">
        <f>VLOOKUP(D281,[1]apoio_Preços_MGS!$A$6:$AN$238,20,FALSE)</f>
        <v>0</v>
      </c>
      <c r="P281" s="40">
        <f>VLOOKUP(D281,[1]apoio_Preços_MGS!$A$6:$AN$238,21,FALSE)</f>
        <v>0</v>
      </c>
      <c r="Q281" s="40">
        <f>VLOOKUP(D281,[1]apoio_Preços_MGS!$A$6:$AN$238,22,FALSE)</f>
        <v>0</v>
      </c>
      <c r="R281" s="40">
        <f>VLOOKUP(D281,[1]apoio_Preços_MGS!$A$6:$AN$238,23,FALSE)</f>
        <v>0</v>
      </c>
      <c r="S281" s="40">
        <f>VLOOKUP(D281,[1]apoio_Preços_MGS!$A$6:$AN$238,24,FALSE)</f>
        <v>0</v>
      </c>
      <c r="T281" s="40">
        <f>VLOOKUP(D281,[1]apoio_Preços_MGS!$A$6:$AN$238,25,FALSE)</f>
        <v>0</v>
      </c>
      <c r="U281" s="40">
        <f t="shared" si="107"/>
        <v>2415.4769740259735</v>
      </c>
      <c r="V281" s="41">
        <v>0.81799999999999995</v>
      </c>
      <c r="W281" s="40">
        <f t="shared" si="108"/>
        <v>1975.8601647532462</v>
      </c>
      <c r="X281" s="40">
        <f>VLOOKUP(D281,[1]apoio_Preços_MGS!$A$6:$AN$238,29,FALSE)</f>
        <v>9.27</v>
      </c>
      <c r="Y281" s="40">
        <f>VLOOKUP(D281,[1]apoio_Preços_MGS!$A$6:$AN$238,30,FALSE)</f>
        <v>5.7163636363636376</v>
      </c>
      <c r="Z281" s="40">
        <f t="shared" si="116"/>
        <v>14.986363636363638</v>
      </c>
      <c r="AA281" s="40">
        <f>VLOOKUP(D281,[1]apoio_Preços_MGS!$A$6:$AN$238,32,FALSE)</f>
        <v>4.6377157901298691</v>
      </c>
      <c r="AB281" s="40">
        <f>VLOOKUP(D281,[1]apoio_Preços_MGS!$A$6:$AN$238,33,FALSE)</f>
        <v>201.60805194805195</v>
      </c>
      <c r="AC281" s="41">
        <f>VLOOKUP(D281,[1]apoio_Preços_MGS!$A$6:$AN$238,34,FALSE)</f>
        <v>0</v>
      </c>
      <c r="AD281" s="40">
        <f>(U281+W281+Z281+AB281+AA281+VLOOKUP(C281,[1]apoio_Prec_Folha!$A:$S,7,FALSE))*AC281</f>
        <v>0</v>
      </c>
      <c r="AE281" s="42">
        <f>VLOOKUP(D281,[1]apoio_Preços_MGS!$A$6:$AN$238,36,FALSE)</f>
        <v>7.0000000000000007E-2</v>
      </c>
      <c r="AF281" s="40">
        <f>(U281+W281+Z281+AB281+AD281+AA281+VLOOKUP(C281,[1]apoio_Prec_Folha!$A:$S,7,FALSE))*AE281</f>
        <v>361.49044891076363</v>
      </c>
      <c r="AG281" s="40">
        <f t="shared" si="117"/>
        <v>4974.05</v>
      </c>
      <c r="AH281" s="43">
        <f t="shared" si="118"/>
        <v>5800.63</v>
      </c>
      <c r="AI281" s="43">
        <f t="shared" si="119"/>
        <v>359639.06</v>
      </c>
      <c r="AJ281" s="43">
        <f t="shared" si="120"/>
        <v>21578343.600000001</v>
      </c>
      <c r="AK281" s="44">
        <f>VLOOKUP(D281,[1]apoio_Preços_MGS!$A$6:$AN$238,39,FALSE)</f>
        <v>200.00000000000003</v>
      </c>
      <c r="AL281" s="44">
        <f>IF(J281="demais municípios",VLOOKUP(D281,[1]apoio_Preços_MGS!$A$6:$AN$238,39,FALSE),0)</f>
        <v>0</v>
      </c>
      <c r="AM281" s="44">
        <f>TRUNC(ROUND(($I281)/(1-($I281)),5)*VLOOKUP(D281,[1]apoio_Preços_MGS!$A$6:$AN$238,39,FALSE)+VLOOKUP(D281,[1]apoio_Preços_MGS!$A$6:$AN$238,39,FALSE),2)</f>
        <v>210.52</v>
      </c>
      <c r="AN281" s="45">
        <f t="shared" si="129"/>
        <v>13052.24</v>
      </c>
      <c r="AO281" s="44">
        <f>VLOOKUP(D281,[1]apoio_Preços_MGS!$A$6:$AN$238,40,FALSE)</f>
        <v>551.58000000000004</v>
      </c>
      <c r="AP281" s="44">
        <f>IF(J281="demais municípios",VLOOKUP(D281,[1]apoio_Preços_MGS!$A$6:$AN$238,40,FALSE),0)</f>
        <v>0</v>
      </c>
      <c r="AQ281" s="44">
        <f>TRUNC(ROUND(($I281)/(1-($I281)),5)*VLOOKUP(D281,[1]apoio_Preços_MGS!$A$6:$AN$238,40,FALSE)+VLOOKUP(D281,[1]apoio_Preços_MGS!$A$6:$AN$238,40,FALSE),2)</f>
        <v>580.6</v>
      </c>
      <c r="AR281" s="45">
        <f t="shared" si="130"/>
        <v>35997.200000000004</v>
      </c>
      <c r="AS281" s="45">
        <f t="shared" si="127"/>
        <v>49049.440000000002</v>
      </c>
      <c r="AT281" s="45">
        <f t="shared" si="128"/>
        <v>2942966.4000000004</v>
      </c>
      <c r="AU281" s="62"/>
      <c r="AV281" s="46"/>
      <c r="AW281" s="47"/>
      <c r="AX281" s="48"/>
      <c r="AY281" s="49"/>
      <c r="BA281" s="48"/>
    </row>
    <row r="282" spans="1:53" ht="19.5" customHeight="1" x14ac:dyDescent="0.25">
      <c r="A282" s="33" t="str">
        <f t="shared" si="123"/>
        <v>63444440,05</v>
      </c>
      <c r="B282" s="33" t="str">
        <f t="shared" si="124"/>
        <v>1220,05</v>
      </c>
      <c r="C282" s="34" t="str">
        <f>VLOOKUP(D282,[1]apoio_Preços_MGS!$A$6:$B$238,2,FALSE)</f>
        <v>ELETRICISTA</v>
      </c>
      <c r="D282" s="35">
        <v>122</v>
      </c>
      <c r="E282" s="33" t="str">
        <f>VLOOKUP(D282,[1]apoio_Preços_MGS!$A$6:$F$238,6,FALSE)</f>
        <v>ELETRICISTA - (PERIC.) - 12x36 DIURNO - 44H</v>
      </c>
      <c r="F282" s="36">
        <f>IFERROR(VLOOKUP(D282,'[1]apoio_cód catmas'!$B$2:$C$863,2,FALSE),0)</f>
        <v>63444</v>
      </c>
      <c r="G282" s="33" t="str">
        <f>IF(H282="N/A",VLOOKUP(F282&amp;40,'[1]apoio_cód catmas'!$A$1:$G$233,4,FALSE),VLOOKUP(F282&amp;H282,'[1]apoio_cód catmas'!$A$1:$G$233,4,FALSE))</f>
        <v>ELETRICISTA - 12X36 DIURNO (PERICULOSIDADE) - 44H</v>
      </c>
      <c r="H282" s="36">
        <v>44</v>
      </c>
      <c r="I282" s="37">
        <v>0.05</v>
      </c>
      <c r="J282" s="38" t="s">
        <v>46</v>
      </c>
      <c r="K282" s="39">
        <f>6-K283</f>
        <v>2</v>
      </c>
      <c r="L282" s="39">
        <f t="shared" si="113"/>
        <v>120</v>
      </c>
      <c r="M282" s="40">
        <f>VLOOKUP(D282,[1]apoio_Preços_MGS!$A$6:$AN$238,18,FALSE)</f>
        <v>2638.4812900000002</v>
      </c>
      <c r="N282" s="40">
        <f>VLOOKUP(D282,[1]apoio_Preços_MGS!$A$6:$AN$238,19,FALSE)</f>
        <v>791.54438700000003</v>
      </c>
      <c r="O282" s="40">
        <f>VLOOKUP(D282,[1]apoio_Preços_MGS!$A$6:$AN$238,20,FALSE)</f>
        <v>0</v>
      </c>
      <c r="P282" s="40">
        <f>VLOOKUP(D282,[1]apoio_Preços_MGS!$A$6:$AN$238,21,FALSE)</f>
        <v>0</v>
      </c>
      <c r="Q282" s="40">
        <f>VLOOKUP(D282,[1]apoio_Preços_MGS!$A$6:$AN$238,22,FALSE)</f>
        <v>0</v>
      </c>
      <c r="R282" s="40">
        <f>VLOOKUP(D282,[1]apoio_Preços_MGS!$A$6:$AN$238,23,FALSE)</f>
        <v>0</v>
      </c>
      <c r="S282" s="40">
        <f>VLOOKUP(D282,[1]apoio_Preços_MGS!$A$6:$AN$238,24,FALSE)</f>
        <v>0</v>
      </c>
      <c r="T282" s="40">
        <f>VLOOKUP(D282,[1]apoio_Preços_MGS!$A$6:$AN$238,25,FALSE)</f>
        <v>4.7639245513888886</v>
      </c>
      <c r="U282" s="40">
        <f t="shared" si="107"/>
        <v>3434.7896015513888</v>
      </c>
      <c r="V282" s="41">
        <v>0.81799999999999995</v>
      </c>
      <c r="W282" s="40">
        <f t="shared" si="108"/>
        <v>2809.657894069036</v>
      </c>
      <c r="X282" s="40">
        <f>VLOOKUP(D282,[1]apoio_Preços_MGS!$A$6:$AN$238,29,FALSE)</f>
        <v>19.18</v>
      </c>
      <c r="Y282" s="40">
        <f>VLOOKUP(D282,[1]apoio_Preços_MGS!$A$6:$AN$238,30,FALSE)</f>
        <v>64.42014814814813</v>
      </c>
      <c r="Z282" s="40">
        <f t="shared" si="116"/>
        <v>83.600148148148122</v>
      </c>
      <c r="AA282" s="40">
        <f>VLOOKUP(D282,[1]apoio_Preços_MGS!$A$6:$AN$238,32,FALSE)</f>
        <v>5.0658840767999997</v>
      </c>
      <c r="AB282" s="40">
        <f>VLOOKUP(D282,[1]apoio_Preços_MGS!$A$6:$AN$238,33,FALSE)</f>
        <v>136.48266666666666</v>
      </c>
      <c r="AC282" s="41">
        <f>VLOOKUP(D282,[1]apoio_Preços_MGS!$A$6:$AN$238,34,FALSE)</f>
        <v>3.3072038509329153E-2</v>
      </c>
      <c r="AD282" s="40">
        <f>(U282+W282+Z282+AB282+AA282+VLOOKUP(C282,[1]apoio_Prec_Folha!$A:$S,7,FALSE))*AC282</f>
        <v>232.20460948568729</v>
      </c>
      <c r="AE282" s="42">
        <f>VLOOKUP(D282,[1]apoio_Preços_MGS!$A$6:$AN$238,36,FALSE)</f>
        <v>7.0000000000000007E-2</v>
      </c>
      <c r="AF282" s="40">
        <f>(U282+W282+Z282+AB282+AD282+AA282+VLOOKUP(C282,[1]apoio_Prec_Folha!$A:$S,7,FALSE))*AE282</f>
        <v>507.73665627984093</v>
      </c>
      <c r="AG282" s="40">
        <f t="shared" si="117"/>
        <v>7209.53</v>
      </c>
      <c r="AH282" s="43">
        <f t="shared" si="118"/>
        <v>8407.6</v>
      </c>
      <c r="AI282" s="43">
        <f t="shared" si="119"/>
        <v>16815.2</v>
      </c>
      <c r="AJ282" s="43">
        <f t="shared" si="120"/>
        <v>1008912</v>
      </c>
      <c r="AK282" s="44">
        <f>VLOOKUP(D282,[1]apoio_Preços_MGS!$A$6:$AN$238,39,FALSE)</f>
        <v>200.00000000000003</v>
      </c>
      <c r="AL282" s="44">
        <f>IF(J282="demais municípios",VLOOKUP(D282,[1]apoio_Preços_MGS!$A$6:$AN$238,39,FALSE),0)</f>
        <v>200.00000000000003</v>
      </c>
      <c r="AM282" s="44">
        <v>0</v>
      </c>
      <c r="AN282" s="45">
        <f>AK282*K282</f>
        <v>400.00000000000006</v>
      </c>
      <c r="AO282" s="44">
        <f>VLOOKUP(D282,[1]apoio_Preços_MGS!$A$6:$AN$238,40,FALSE)</f>
        <v>551.58000000000004</v>
      </c>
      <c r="AP282" s="44">
        <f>IF(J282="demais municípios",VLOOKUP(D282,[1]apoio_Preços_MGS!$A$6:$AN$238,40,FALSE),0)</f>
        <v>551.58000000000004</v>
      </c>
      <c r="AQ282" s="44">
        <v>0</v>
      </c>
      <c r="AR282" s="45">
        <f>AO282*K282</f>
        <v>1103.1600000000001</v>
      </c>
      <c r="AS282" s="45">
        <f t="shared" si="127"/>
        <v>1503.16</v>
      </c>
      <c r="AT282" s="45">
        <f t="shared" si="128"/>
        <v>90189.6</v>
      </c>
      <c r="AU282" s="62"/>
      <c r="AV282" s="46"/>
      <c r="AW282" s="47"/>
      <c r="AX282" s="48"/>
      <c r="AY282" s="49"/>
      <c r="BA282" s="48"/>
    </row>
    <row r="283" spans="1:53" ht="19.5" customHeight="1" x14ac:dyDescent="0.25">
      <c r="A283" s="33" t="str">
        <f t="shared" si="123"/>
        <v>63444440,05</v>
      </c>
      <c r="B283" s="33" t="str">
        <f t="shared" si="124"/>
        <v>1220,05</v>
      </c>
      <c r="C283" s="34" t="str">
        <f>VLOOKUP(D283,[1]apoio_Preços_MGS!$A$6:$B$238,2,FALSE)</f>
        <v>ELETRICISTA</v>
      </c>
      <c r="D283" s="35">
        <v>122</v>
      </c>
      <c r="E283" s="33" t="str">
        <f>VLOOKUP(D283,[1]apoio_Preços_MGS!$A$6:$F$238,6,FALSE)</f>
        <v>ELETRICISTA - (PERIC.) - 12x36 DIURNO - 44H</v>
      </c>
      <c r="F283" s="36">
        <f>IFERROR(VLOOKUP(D283,'[1]apoio_cód catmas'!$B$2:$C$863,2,FALSE),0)</f>
        <v>63444</v>
      </c>
      <c r="G283" s="33" t="str">
        <f>IF(H283="N/A",VLOOKUP(F283&amp;40,'[1]apoio_cód catmas'!$A$1:$G$233,4,FALSE),VLOOKUP(F283&amp;H283,'[1]apoio_cód catmas'!$A$1:$G$233,4,FALSE))</f>
        <v>ELETRICISTA - 12X36 DIURNO (PERICULOSIDADE) - 44H</v>
      </c>
      <c r="H283" s="36">
        <v>44</v>
      </c>
      <c r="I283" s="37">
        <v>0.05</v>
      </c>
      <c r="J283" s="38" t="s">
        <v>47</v>
      </c>
      <c r="K283" s="39">
        <v>4</v>
      </c>
      <c r="L283" s="39">
        <f t="shared" si="113"/>
        <v>240</v>
      </c>
      <c r="M283" s="40">
        <f>VLOOKUP(D283,[1]apoio_Preços_MGS!$A$6:$AN$238,18,FALSE)</f>
        <v>2638.4812900000002</v>
      </c>
      <c r="N283" s="40">
        <f>VLOOKUP(D283,[1]apoio_Preços_MGS!$A$6:$AN$238,19,FALSE)</f>
        <v>791.54438700000003</v>
      </c>
      <c r="O283" s="40">
        <f>VLOOKUP(D283,[1]apoio_Preços_MGS!$A$6:$AN$238,20,FALSE)</f>
        <v>0</v>
      </c>
      <c r="P283" s="40">
        <f>VLOOKUP(D283,[1]apoio_Preços_MGS!$A$6:$AN$238,21,FALSE)</f>
        <v>0</v>
      </c>
      <c r="Q283" s="40">
        <f>VLOOKUP(D283,[1]apoio_Preços_MGS!$A$6:$AN$238,22,FALSE)</f>
        <v>0</v>
      </c>
      <c r="R283" s="40">
        <f>VLOOKUP(D283,[1]apoio_Preços_MGS!$A$6:$AN$238,23,FALSE)</f>
        <v>0</v>
      </c>
      <c r="S283" s="40">
        <f>VLOOKUP(D283,[1]apoio_Preços_MGS!$A$6:$AN$238,24,FALSE)</f>
        <v>0</v>
      </c>
      <c r="T283" s="40">
        <f>VLOOKUP(D283,[1]apoio_Preços_MGS!$A$6:$AN$238,25,FALSE)</f>
        <v>4.7639245513888886</v>
      </c>
      <c r="U283" s="40">
        <f t="shared" si="107"/>
        <v>3434.7896015513888</v>
      </c>
      <c r="V283" s="41">
        <v>0.81799999999999995</v>
      </c>
      <c r="W283" s="40">
        <f t="shared" si="108"/>
        <v>2809.657894069036</v>
      </c>
      <c r="X283" s="40">
        <f>VLOOKUP(D283,[1]apoio_Preços_MGS!$A$6:$AN$238,29,FALSE)</f>
        <v>19.18</v>
      </c>
      <c r="Y283" s="40">
        <f>VLOOKUP(D283,[1]apoio_Preços_MGS!$A$6:$AN$238,30,FALSE)</f>
        <v>64.42014814814813</v>
      </c>
      <c r="Z283" s="40">
        <f t="shared" si="116"/>
        <v>83.600148148148122</v>
      </c>
      <c r="AA283" s="40">
        <f>VLOOKUP(D283,[1]apoio_Preços_MGS!$A$6:$AN$238,32,FALSE)</f>
        <v>5.0658840767999997</v>
      </c>
      <c r="AB283" s="40">
        <f>VLOOKUP(D283,[1]apoio_Preços_MGS!$A$6:$AN$238,33,FALSE)</f>
        <v>136.48266666666666</v>
      </c>
      <c r="AC283" s="41">
        <f>VLOOKUP(D283,[1]apoio_Preços_MGS!$A$6:$AN$238,34,FALSE)</f>
        <v>3.3072038509329153E-2</v>
      </c>
      <c r="AD283" s="40">
        <f>(U283+W283+Z283+AB283+AA283+VLOOKUP(C283,[1]apoio_Prec_Folha!$A:$S,7,FALSE))*AC283</f>
        <v>232.20460948568729</v>
      </c>
      <c r="AE283" s="42">
        <f>VLOOKUP(D283,[1]apoio_Preços_MGS!$A$6:$AN$238,36,FALSE)</f>
        <v>7.0000000000000007E-2</v>
      </c>
      <c r="AF283" s="40">
        <f>(U283+W283+Z283+AB283+AD283+AA283+VLOOKUP(C283,[1]apoio_Prec_Folha!$A:$S,7,FALSE))*AE283</f>
        <v>507.73665627984093</v>
      </c>
      <c r="AG283" s="40">
        <f t="shared" si="117"/>
        <v>7209.53</v>
      </c>
      <c r="AH283" s="43">
        <f t="shared" si="118"/>
        <v>8407.6</v>
      </c>
      <c r="AI283" s="43">
        <f t="shared" si="119"/>
        <v>33630.400000000001</v>
      </c>
      <c r="AJ283" s="43">
        <f t="shared" si="120"/>
        <v>2017824</v>
      </c>
      <c r="AK283" s="44">
        <f>VLOOKUP(D283,[1]apoio_Preços_MGS!$A$6:$AN$238,39,FALSE)</f>
        <v>200.00000000000003</v>
      </c>
      <c r="AL283" s="44">
        <f>IF(J283="demais municípios",VLOOKUP(D283,[1]apoio_Preços_MGS!$A$6:$AN$238,39,FALSE),0)</f>
        <v>0</v>
      </c>
      <c r="AM283" s="44">
        <f>TRUNC(ROUND(($I283)/(1-($I283)),5)*VLOOKUP(D283,[1]apoio_Preços_MGS!$A$6:$AN$238,39,FALSE)+VLOOKUP(D283,[1]apoio_Preços_MGS!$A$6:$AN$238,39,FALSE),2)</f>
        <v>210.52</v>
      </c>
      <c r="AN283" s="45">
        <f t="shared" si="129"/>
        <v>842.08</v>
      </c>
      <c r="AO283" s="44">
        <f>VLOOKUP(D283,[1]apoio_Preços_MGS!$A$6:$AN$238,40,FALSE)</f>
        <v>551.58000000000004</v>
      </c>
      <c r="AP283" s="44">
        <f>IF(J283="demais municípios",VLOOKUP(D283,[1]apoio_Preços_MGS!$A$6:$AN$238,40,FALSE),0)</f>
        <v>0</v>
      </c>
      <c r="AQ283" s="44">
        <f>TRUNC(ROUND(($I283)/(1-($I283)),5)*VLOOKUP(D283,[1]apoio_Preços_MGS!$A$6:$AN$238,40,FALSE)+VLOOKUP(D283,[1]apoio_Preços_MGS!$A$6:$AN$238,40,FALSE),2)</f>
        <v>580.6</v>
      </c>
      <c r="AR283" s="45">
        <f t="shared" si="130"/>
        <v>2322.4</v>
      </c>
      <c r="AS283" s="45">
        <f t="shared" si="127"/>
        <v>3164.48</v>
      </c>
      <c r="AT283" s="45">
        <f t="shared" si="128"/>
        <v>189868.79999999999</v>
      </c>
      <c r="AU283" s="62"/>
      <c r="AV283" s="46"/>
      <c r="AW283" s="47"/>
      <c r="AX283" s="48"/>
      <c r="AY283" s="49"/>
      <c r="BA283" s="48"/>
    </row>
    <row r="284" spans="1:53" ht="19.5" customHeight="1" x14ac:dyDescent="0.25">
      <c r="A284" s="33" t="str">
        <f t="shared" si="123"/>
        <v>64254440,05</v>
      </c>
      <c r="B284" s="33" t="str">
        <f t="shared" si="124"/>
        <v>1230,05</v>
      </c>
      <c r="C284" s="34" t="str">
        <f>VLOOKUP(D284,[1]apoio_Preços_MGS!$A$6:$B$238,2,FALSE)</f>
        <v>ELETRICISTA</v>
      </c>
      <c r="D284" s="35">
        <v>123</v>
      </c>
      <c r="E284" s="33" t="str">
        <f>VLOOKUP(D284,[1]apoio_Preços_MGS!$A$6:$F$238,6,FALSE)</f>
        <v>ELETRICISTA - (PERIC.) - 12x36 NOTURNO - 44H</v>
      </c>
      <c r="F284" s="36">
        <f>IFERROR(VLOOKUP(D284,'[1]apoio_cód catmas'!$B$2:$C$863,2,FALSE),0)</f>
        <v>64254</v>
      </c>
      <c r="G284" s="33" t="str">
        <f>IF(H284="N/A",VLOOKUP(F284&amp;40,'[1]apoio_cód catmas'!$A$1:$G$233,4,FALSE),VLOOKUP(F284&amp;H284,'[1]apoio_cód catmas'!$A$1:$G$233,4,FALSE))</f>
        <v>ELETRICISTA - 12X36 NOTURNO (PERICULOSIDADE) - 44H</v>
      </c>
      <c r="H284" s="36">
        <v>44</v>
      </c>
      <c r="I284" s="37">
        <v>0.05</v>
      </c>
      <c r="J284" s="38" t="s">
        <v>47</v>
      </c>
      <c r="K284" s="39">
        <v>4</v>
      </c>
      <c r="L284" s="39">
        <f t="shared" si="113"/>
        <v>240</v>
      </c>
      <c r="M284" s="40">
        <f>VLOOKUP(D284,[1]apoio_Preços_MGS!$A$6:$AN$238,18,FALSE)</f>
        <v>2638.4812900000002</v>
      </c>
      <c r="N284" s="40">
        <f>VLOOKUP(D284,[1]apoio_Preços_MGS!$A$6:$AN$238,19,FALSE)</f>
        <v>791.54438700000003</v>
      </c>
      <c r="O284" s="40">
        <f>VLOOKUP(D284,[1]apoio_Preços_MGS!$A$6:$AN$238,20,FALSE)</f>
        <v>799.05692291785704</v>
      </c>
      <c r="P284" s="40">
        <f>VLOOKUP(D284,[1]apoio_Preços_MGS!$A$6:$AN$238,21,FALSE)</f>
        <v>17.442185851270821</v>
      </c>
      <c r="Q284" s="40">
        <f>VLOOKUP(D284,[1]apoio_Preços_MGS!$A$6:$AN$238,22,FALSE)</f>
        <v>65.408177319806498</v>
      </c>
      <c r="R284" s="40">
        <f>VLOOKUP(D284,[1]apoio_Preços_MGS!$A$6:$AN$238,23,FALSE)</f>
        <v>0</v>
      </c>
      <c r="S284" s="40">
        <f>VLOOKUP(D284,[1]apoio_Preços_MGS!$A$6:$AN$238,24,FALSE)</f>
        <v>0</v>
      </c>
      <c r="T284" s="40">
        <f>VLOOKUP(D284,[1]apoio_Preços_MGS!$A$6:$AN$238,25,FALSE)</f>
        <v>4.7639245513888886</v>
      </c>
      <c r="U284" s="40">
        <f t="shared" si="107"/>
        <v>4316.6968876403234</v>
      </c>
      <c r="V284" s="41">
        <v>0.81799999999999995</v>
      </c>
      <c r="W284" s="40">
        <f t="shared" si="108"/>
        <v>3531.0580540897845</v>
      </c>
      <c r="X284" s="40">
        <f>VLOOKUP(D284,[1]apoio_Preços_MGS!$A$6:$AN$238,29,FALSE)</f>
        <v>19.18</v>
      </c>
      <c r="Y284" s="40">
        <f>VLOOKUP(D284,[1]apoio_Preços_MGS!$A$6:$AN$238,30,FALSE)</f>
        <v>64.42014814814813</v>
      </c>
      <c r="Z284" s="40">
        <f t="shared" si="116"/>
        <v>83.600148148148122</v>
      </c>
      <c r="AA284" s="40">
        <f>VLOOKUP(D284,[1]apoio_Preços_MGS!$A$6:$AN$238,32,FALSE)</f>
        <v>5.0658840767999997</v>
      </c>
      <c r="AB284" s="40">
        <f>VLOOKUP(D284,[1]apoio_Preços_MGS!$A$6:$AN$238,33,FALSE)</f>
        <v>136.48266666666666</v>
      </c>
      <c r="AC284" s="41">
        <f>VLOOKUP(D284,[1]apoio_Preços_MGS!$A$6:$AN$238,34,FALSE)</f>
        <v>3.3072038509329153E-2</v>
      </c>
      <c r="AD284" s="40">
        <f>(U284+W284+Z284+AB284+AA284+VLOOKUP(C284,[1]apoio_Prec_Folha!$A:$S,7,FALSE))*AC284</f>
        <v>285.22925508572092</v>
      </c>
      <c r="AE284" s="42">
        <f>VLOOKUP(D284,[1]apoio_Preços_MGS!$A$6:$AN$238,36,FALSE)</f>
        <v>7.0000000000000007E-2</v>
      </c>
      <c r="AF284" s="40">
        <f>(U284+W284+Z284+AB284+AD284+AA284+VLOOKUP(C284,[1]apoio_Prec_Folha!$A:$S,7,FALSE))*AE284</f>
        <v>623.67990269952099</v>
      </c>
      <c r="AG284" s="40">
        <f t="shared" si="117"/>
        <v>8981.81</v>
      </c>
      <c r="AH284" s="43">
        <f t="shared" si="118"/>
        <v>10474.4</v>
      </c>
      <c r="AI284" s="43">
        <f t="shared" si="119"/>
        <v>41897.599999999999</v>
      </c>
      <c r="AJ284" s="43">
        <f t="shared" si="120"/>
        <v>2513856</v>
      </c>
      <c r="AK284" s="44">
        <f>VLOOKUP(D284,[1]apoio_Preços_MGS!$A$6:$AN$238,39,FALSE)</f>
        <v>200.00000000000003</v>
      </c>
      <c r="AL284" s="44">
        <f>IF(J284="demais municípios",VLOOKUP(D284,[1]apoio_Preços_MGS!$A$6:$AN$238,39,FALSE),0)</f>
        <v>0</v>
      </c>
      <c r="AM284" s="44">
        <f>TRUNC(ROUND(($I284)/(1-($I284)),5)*VLOOKUP(D284,[1]apoio_Preços_MGS!$A$6:$AN$238,39,FALSE)+VLOOKUP(D284,[1]apoio_Preços_MGS!$A$6:$AN$238,39,FALSE),2)</f>
        <v>210.52</v>
      </c>
      <c r="AN284" s="45">
        <f t="shared" si="129"/>
        <v>842.08</v>
      </c>
      <c r="AO284" s="44">
        <f>VLOOKUP(D284,[1]apoio_Preços_MGS!$A$6:$AN$238,40,FALSE)</f>
        <v>551.58000000000004</v>
      </c>
      <c r="AP284" s="44">
        <f>IF(J284="demais municípios",VLOOKUP(D284,[1]apoio_Preços_MGS!$A$6:$AN$238,40,FALSE),0)</f>
        <v>0</v>
      </c>
      <c r="AQ284" s="44">
        <f>TRUNC(ROUND(($I284)/(1-($I284)),5)*VLOOKUP(D284,[1]apoio_Preços_MGS!$A$6:$AN$238,40,FALSE)+VLOOKUP(D284,[1]apoio_Preços_MGS!$A$6:$AN$238,40,FALSE),2)</f>
        <v>580.6</v>
      </c>
      <c r="AR284" s="45">
        <f t="shared" si="130"/>
        <v>2322.4</v>
      </c>
      <c r="AS284" s="45">
        <f t="shared" si="127"/>
        <v>3164.48</v>
      </c>
      <c r="AT284" s="45">
        <f t="shared" si="128"/>
        <v>189868.79999999999</v>
      </c>
      <c r="AU284" s="62"/>
      <c r="AV284" s="46"/>
      <c r="AW284" s="47"/>
      <c r="AX284" s="48"/>
      <c r="AY284" s="49"/>
      <c r="BA284" s="48"/>
    </row>
    <row r="285" spans="1:53" ht="19.5" customHeight="1" x14ac:dyDescent="0.25">
      <c r="A285" s="33" t="str">
        <f t="shared" si="123"/>
        <v>64262400,05</v>
      </c>
      <c r="B285" s="33" t="str">
        <f t="shared" si="124"/>
        <v>1200,05</v>
      </c>
      <c r="C285" s="34" t="str">
        <f>VLOOKUP(D285,[1]apoio_Preços_MGS!$A$6:$B$238,2,FALSE)</f>
        <v>ELETRICISTA</v>
      </c>
      <c r="D285" s="35">
        <v>120</v>
      </c>
      <c r="E285" s="33" t="str">
        <f>VLOOKUP(D285,[1]apoio_Preços_MGS!$A$6:$F$238,6,FALSE)</f>
        <v>ELETRICISTA - (PERIC.) - DIARISTA DIURNO - 40H</v>
      </c>
      <c r="F285" s="36">
        <f>IFERROR(VLOOKUP(D285,'[1]apoio_cód catmas'!$B$2:$C$863,2,FALSE),0)</f>
        <v>64262</v>
      </c>
      <c r="G285" s="33" t="str">
        <f>IF(H285="N/A",VLOOKUP(F285&amp;40,'[1]apoio_cód catmas'!$A$1:$G$233,4,FALSE),VLOOKUP(F285&amp;H285,'[1]apoio_cód catmas'!$A$1:$G$233,4,FALSE))</f>
        <v>ELETRICISTA (PERICULOSIDADE) - 40H OU 44H</v>
      </c>
      <c r="H285" s="36">
        <v>40</v>
      </c>
      <c r="I285" s="37">
        <v>0.05</v>
      </c>
      <c r="J285" s="38" t="s">
        <v>47</v>
      </c>
      <c r="K285" s="39">
        <v>2</v>
      </c>
      <c r="L285" s="39">
        <f t="shared" si="113"/>
        <v>120</v>
      </c>
      <c r="M285" s="40">
        <f>VLOOKUP(D285,[1]apoio_Preços_MGS!$A$6:$AN$238,18,FALSE)</f>
        <v>2398.6193545454548</v>
      </c>
      <c r="N285" s="40">
        <f>VLOOKUP(D285,[1]apoio_Preços_MGS!$A$6:$AN$238,19,FALSE)</f>
        <v>719.58580636363638</v>
      </c>
      <c r="O285" s="40">
        <f>VLOOKUP(D285,[1]apoio_Preços_MGS!$A$6:$AN$238,20,FALSE)</f>
        <v>0</v>
      </c>
      <c r="P285" s="40">
        <f>VLOOKUP(D285,[1]apoio_Preços_MGS!$A$6:$AN$238,21,FALSE)</f>
        <v>0</v>
      </c>
      <c r="Q285" s="40">
        <f>VLOOKUP(D285,[1]apoio_Preços_MGS!$A$6:$AN$238,22,FALSE)</f>
        <v>0</v>
      </c>
      <c r="R285" s="40">
        <f>VLOOKUP(D285,[1]apoio_Preços_MGS!$A$6:$AN$238,23,FALSE)</f>
        <v>0</v>
      </c>
      <c r="S285" s="40">
        <f>VLOOKUP(D285,[1]apoio_Preços_MGS!$A$6:$AN$238,24,FALSE)</f>
        <v>0</v>
      </c>
      <c r="T285" s="40">
        <f>VLOOKUP(D285,[1]apoio_Preços_MGS!$A$6:$AN$238,25,FALSE)</f>
        <v>0</v>
      </c>
      <c r="U285" s="40">
        <f t="shared" si="107"/>
        <v>3118.2051609090913</v>
      </c>
      <c r="V285" s="41">
        <f>VLOOKUP(D285,[1]apoio_Preços_MGS!$A$6:$AN$238,27,FALSE)</f>
        <v>0.81799999999999995</v>
      </c>
      <c r="W285" s="40">
        <f t="shared" si="108"/>
        <v>2550.6918216236363</v>
      </c>
      <c r="X285" s="40">
        <f>VLOOKUP(D285,[1]apoio_Preços_MGS!$A$6:$AN$238,29,FALSE)</f>
        <v>19.18</v>
      </c>
      <c r="Y285" s="40">
        <f>VLOOKUP(D285,[1]apoio_Preços_MGS!$A$6:$AN$238,30,FALSE)</f>
        <v>64.42014814814813</v>
      </c>
      <c r="Z285" s="40">
        <f t="shared" si="116"/>
        <v>83.600148148148122</v>
      </c>
      <c r="AA285" s="40">
        <f>VLOOKUP(D285,[1]apoio_Preços_MGS!$A$6:$AN$238,32,FALSE)</f>
        <v>4.6053491607272727</v>
      </c>
      <c r="AB285" s="40">
        <f>VLOOKUP(D285,[1]apoio_Preços_MGS!$A$6:$AN$238,33,FALSE)</f>
        <v>144.17587878787879</v>
      </c>
      <c r="AC285" s="41">
        <f>VLOOKUP(D285,[1]apoio_Preços_MGS!$A$6:$AN$238,34,FALSE)</f>
        <v>3.3072038509329153E-2</v>
      </c>
      <c r="AD285" s="40">
        <f>(U285+W285+Z285+AB285+AA285+VLOOKUP(C285,[1]apoio_Prec_Folha!$A:$S,7,FALSE))*AC285</f>
        <v>213.40918013184074</v>
      </c>
      <c r="AE285" s="42">
        <f>VLOOKUP(D285,[1]apoio_Preços_MGS!$A$6:$AN$238,36,FALSE)</f>
        <v>7.0000000000000007E-2</v>
      </c>
      <c r="AF285" s="40">
        <f>(U285+W285+Z285+AB285+AD285+AA285+VLOOKUP(C285,[1]apoio_Prec_Folha!$A:$S,7,FALSE))*AE285</f>
        <v>466.63872771329261</v>
      </c>
      <c r="AG285" s="40">
        <f t="shared" si="117"/>
        <v>6581.32</v>
      </c>
      <c r="AH285" s="43">
        <f t="shared" si="118"/>
        <v>7675</v>
      </c>
      <c r="AI285" s="43">
        <f t="shared" si="119"/>
        <v>15350</v>
      </c>
      <c r="AJ285" s="43">
        <f t="shared" si="120"/>
        <v>921000</v>
      </c>
      <c r="AK285" s="44">
        <f>VLOOKUP(D285,[1]apoio_Preços_MGS!$A$6:$AN$238,39,FALSE)</f>
        <v>181.81818181818184</v>
      </c>
      <c r="AL285" s="44">
        <f>IF(J285="demais municípios",VLOOKUP(D285,[1]apoio_Preços_MGS!$A$6:$AN$238,39,FALSE),0)</f>
        <v>0</v>
      </c>
      <c r="AM285" s="44">
        <f>TRUNC(ROUND(($I285)/(1-($I285)),5)*VLOOKUP(D285,[1]apoio_Preços_MGS!$A$6:$AN$238,39,FALSE)+VLOOKUP(D285,[1]apoio_Preços_MGS!$A$6:$AN$238,39,FALSE),2)</f>
        <v>191.38</v>
      </c>
      <c r="AN285" s="45">
        <f t="shared" si="129"/>
        <v>382.76</v>
      </c>
      <c r="AO285" s="44">
        <f>VLOOKUP(D285,[1]apoio_Preços_MGS!$A$6:$AN$238,40,FALSE)</f>
        <v>551.58000000000004</v>
      </c>
      <c r="AP285" s="44">
        <f>IF(J285="demais municípios",VLOOKUP(D285,[1]apoio_Preços_MGS!$A$6:$AN$238,40,FALSE),0)</f>
        <v>0</v>
      </c>
      <c r="AQ285" s="44">
        <f>TRUNC(ROUND(($I285)/(1-($I285)),5)*VLOOKUP(D285,[1]apoio_Preços_MGS!$A$6:$AN$238,40,FALSE)+VLOOKUP(D285,[1]apoio_Preços_MGS!$A$6:$AN$238,40,FALSE),2)</f>
        <v>580.6</v>
      </c>
      <c r="AR285" s="45">
        <f t="shared" si="130"/>
        <v>1161.2</v>
      </c>
      <c r="AS285" s="45">
        <f t="shared" si="127"/>
        <v>1543.96</v>
      </c>
      <c r="AT285" s="45">
        <f t="shared" si="128"/>
        <v>92637.6</v>
      </c>
      <c r="AU285" s="62"/>
      <c r="AV285" s="46"/>
      <c r="AW285" s="47"/>
      <c r="AX285" s="48"/>
      <c r="AY285" s="49"/>
      <c r="BA285" s="48"/>
    </row>
    <row r="286" spans="1:53" ht="19.5" customHeight="1" x14ac:dyDescent="0.25">
      <c r="A286" s="33" t="str">
        <f t="shared" si="123"/>
        <v>64262400,05</v>
      </c>
      <c r="B286" s="33" t="str">
        <f t="shared" si="124"/>
        <v>1200,05</v>
      </c>
      <c r="C286" s="34" t="str">
        <f>VLOOKUP(D286,[1]apoio_Preços_MGS!$A$6:$B$238,2,FALSE)</f>
        <v>ELETRICISTA</v>
      </c>
      <c r="D286" s="35">
        <v>120</v>
      </c>
      <c r="E286" s="33" t="str">
        <f>VLOOKUP(D286,[1]apoio_Preços_MGS!$A$6:$F$238,6,FALSE)</f>
        <v>ELETRICISTA - (PERIC.) - DIARISTA DIURNO - 40H</v>
      </c>
      <c r="F286" s="36">
        <f>IFERROR(VLOOKUP(D286,'[1]apoio_cód catmas'!$B$2:$C$863,2,FALSE),0)</f>
        <v>64262</v>
      </c>
      <c r="G286" s="33" t="str">
        <f>IF(H286="N/A",VLOOKUP(F286&amp;40,'[1]apoio_cód catmas'!$A$1:$G$233,4,FALSE),VLOOKUP(F286&amp;H286,'[1]apoio_cód catmas'!$A$1:$G$233,4,FALSE))</f>
        <v>ELETRICISTA (PERICULOSIDADE) - 40H OU 44H</v>
      </c>
      <c r="H286" s="36">
        <v>40</v>
      </c>
      <c r="I286" s="37">
        <v>0.05</v>
      </c>
      <c r="J286" s="38" t="s">
        <v>47</v>
      </c>
      <c r="K286" s="39">
        <v>1</v>
      </c>
      <c r="L286" s="39">
        <f>K286*52</f>
        <v>52</v>
      </c>
      <c r="M286" s="40">
        <f>VLOOKUP(D286,[1]apoio_Preços_MGS!$A$6:$AN$238,18,FALSE)</f>
        <v>2398.6193545454548</v>
      </c>
      <c r="N286" s="40">
        <f>VLOOKUP(D286,[1]apoio_Preços_MGS!$A$6:$AN$238,19,FALSE)</f>
        <v>719.58580636363638</v>
      </c>
      <c r="O286" s="40">
        <f>VLOOKUP(D286,[1]apoio_Preços_MGS!$A$6:$AN$238,20,FALSE)</f>
        <v>0</v>
      </c>
      <c r="P286" s="40">
        <f>VLOOKUP(D286,[1]apoio_Preços_MGS!$A$6:$AN$238,21,FALSE)</f>
        <v>0</v>
      </c>
      <c r="Q286" s="40">
        <f>VLOOKUP(D286,[1]apoio_Preços_MGS!$A$6:$AN$238,22,FALSE)</f>
        <v>0</v>
      </c>
      <c r="R286" s="40">
        <f>VLOOKUP(D286,[1]apoio_Preços_MGS!$A$6:$AN$238,23,FALSE)</f>
        <v>0</v>
      </c>
      <c r="S286" s="40">
        <f>VLOOKUP(D286,[1]apoio_Preços_MGS!$A$6:$AN$238,24,FALSE)</f>
        <v>0</v>
      </c>
      <c r="T286" s="40">
        <f>VLOOKUP(D286,[1]apoio_Preços_MGS!$A$6:$AN$238,25,FALSE)</f>
        <v>0</v>
      </c>
      <c r="U286" s="40">
        <f t="shared" si="107"/>
        <v>3118.2051609090913</v>
      </c>
      <c r="V286" s="41">
        <f>VLOOKUP(D286,[1]apoio_Preços_MGS!$A$6:$AN$238,27,FALSE)</f>
        <v>0.81799999999999995</v>
      </c>
      <c r="W286" s="40">
        <f t="shared" si="108"/>
        <v>2550.6918216236363</v>
      </c>
      <c r="X286" s="40">
        <f>VLOOKUP(D286,[1]apoio_Preços_MGS!$A$6:$AN$238,29,FALSE)</f>
        <v>19.18</v>
      </c>
      <c r="Y286" s="40">
        <f>VLOOKUP(D286,[1]apoio_Preços_MGS!$A$6:$AN$238,30,FALSE)</f>
        <v>64.42014814814813</v>
      </c>
      <c r="Z286" s="40">
        <f t="shared" si="116"/>
        <v>83.600148148148122</v>
      </c>
      <c r="AA286" s="40">
        <f>VLOOKUP(D286,[1]apoio_Preços_MGS!$A$6:$AN$238,32,FALSE)</f>
        <v>4.6053491607272727</v>
      </c>
      <c r="AB286" s="40">
        <f>VLOOKUP(D286,[1]apoio_Preços_MGS!$A$6:$AN$238,33,FALSE)</f>
        <v>144.17587878787879</v>
      </c>
      <c r="AC286" s="41">
        <f>VLOOKUP(D286,[1]apoio_Preços_MGS!$A$6:$AN$238,34,FALSE)</f>
        <v>3.3072038509329153E-2</v>
      </c>
      <c r="AD286" s="40">
        <f>(U286+W286+Z286+AB286+AA286+VLOOKUP(C286,[1]apoio_Prec_Folha!$A:$S,7,FALSE))*AC286</f>
        <v>213.40918013184074</v>
      </c>
      <c r="AE286" s="42">
        <f>VLOOKUP(D286,[1]apoio_Preços_MGS!$A$6:$AN$238,36,FALSE)</f>
        <v>7.0000000000000007E-2</v>
      </c>
      <c r="AF286" s="40">
        <f>(U286+W286+Z286+AB286+AD286+AA286+VLOOKUP(C286,[1]apoio_Prec_Folha!$A:$S,7,FALSE))*AE286</f>
        <v>466.63872771329261</v>
      </c>
      <c r="AG286" s="40">
        <f t="shared" si="117"/>
        <v>6581.32</v>
      </c>
      <c r="AH286" s="43">
        <f t="shared" si="118"/>
        <v>7675</v>
      </c>
      <c r="AI286" s="43">
        <f t="shared" si="119"/>
        <v>7675</v>
      </c>
      <c r="AJ286" s="43">
        <f t="shared" si="120"/>
        <v>399100</v>
      </c>
      <c r="AK286" s="44">
        <f>VLOOKUP(D286,[1]apoio_Preços_MGS!$A$6:$AN$238,39,FALSE)</f>
        <v>181.81818181818184</v>
      </c>
      <c r="AL286" s="44">
        <f>IF(J286="demais municípios",VLOOKUP(D286,[1]apoio_Preços_MGS!$A$6:$AN$238,39,FALSE),0)</f>
        <v>0</v>
      </c>
      <c r="AM286" s="44">
        <f>TRUNC(ROUND(($I286)/(1-($I286)),5)*VLOOKUP(D286,[1]apoio_Preços_MGS!$A$6:$AN$238,39,FALSE)+VLOOKUP(D286,[1]apoio_Preços_MGS!$A$6:$AN$238,39,FALSE),2)</f>
        <v>191.38</v>
      </c>
      <c r="AN286" s="45">
        <f t="shared" si="129"/>
        <v>191.38</v>
      </c>
      <c r="AO286" s="44">
        <f>VLOOKUP(D286,[1]apoio_Preços_MGS!$A$6:$AN$238,40,FALSE)</f>
        <v>551.58000000000004</v>
      </c>
      <c r="AP286" s="44">
        <f>IF(J286="demais municípios",VLOOKUP(D286,[1]apoio_Preços_MGS!$A$6:$AN$238,40,FALSE),0)</f>
        <v>0</v>
      </c>
      <c r="AQ286" s="44">
        <f>TRUNC(ROUND(($I286)/(1-($I286)),5)*VLOOKUP(D286,[1]apoio_Preços_MGS!$A$6:$AN$238,40,FALSE)+VLOOKUP(D286,[1]apoio_Preços_MGS!$A$6:$AN$238,40,FALSE),2)</f>
        <v>580.6</v>
      </c>
      <c r="AR286" s="45">
        <f t="shared" si="130"/>
        <v>580.6</v>
      </c>
      <c r="AS286" s="45">
        <f t="shared" si="127"/>
        <v>771.98</v>
      </c>
      <c r="AT286" s="45">
        <f t="shared" si="128"/>
        <v>46318.8</v>
      </c>
      <c r="AU286" s="62"/>
      <c r="AV286" s="46"/>
      <c r="AW286" s="47"/>
      <c r="AX286" s="48"/>
      <c r="AY286" s="49"/>
      <c r="BA286" s="48"/>
    </row>
    <row r="287" spans="1:53" ht="19.5" customHeight="1" x14ac:dyDescent="0.25">
      <c r="A287" s="33" t="str">
        <f t="shared" si="123"/>
        <v>64262440,05</v>
      </c>
      <c r="B287" s="33" t="str">
        <f t="shared" si="124"/>
        <v>1190,05</v>
      </c>
      <c r="C287" s="34" t="str">
        <f>VLOOKUP(D287,[1]apoio_Preços_MGS!$A$6:$B$238,2,FALSE)</f>
        <v>ELETRICISTA</v>
      </c>
      <c r="D287" s="35">
        <v>119</v>
      </c>
      <c r="E287" s="33" t="str">
        <f>VLOOKUP(D287,[1]apoio_Preços_MGS!$A$6:$F$238,6,FALSE)</f>
        <v>ELETRICISTA - (PERIC.) - DIARISTA DIURNO - 44H</v>
      </c>
      <c r="F287" s="36">
        <f>IFERROR(VLOOKUP(D287,'[1]apoio_cód catmas'!$B$2:$C$863,2,FALSE),0)</f>
        <v>64262</v>
      </c>
      <c r="G287" s="33" t="str">
        <f>IF(H287="N/A",VLOOKUP(F287&amp;40,'[1]apoio_cód catmas'!$A$1:$G$233,4,FALSE),VLOOKUP(F287&amp;H287,'[1]apoio_cód catmas'!$A$1:$G$233,4,FALSE))</f>
        <v>ELETRICISTA (PERICULOSIDADE) - 40H OU 44H</v>
      </c>
      <c r="H287" s="36">
        <v>44</v>
      </c>
      <c r="I287" s="37">
        <v>0.05</v>
      </c>
      <c r="J287" s="38" t="s">
        <v>47</v>
      </c>
      <c r="K287" s="39">
        <v>12</v>
      </c>
      <c r="L287" s="39">
        <f t="shared" si="113"/>
        <v>720</v>
      </c>
      <c r="M287" s="40">
        <f>VLOOKUP(D287,[1]apoio_Preços_MGS!$A$6:$AN$238,18,FALSE)</f>
        <v>2638.4812900000002</v>
      </c>
      <c r="N287" s="40">
        <f>VLOOKUP(D287,[1]apoio_Preços_MGS!$A$6:$AN$238,19,FALSE)</f>
        <v>791.54438700000003</v>
      </c>
      <c r="O287" s="40">
        <f>VLOOKUP(D287,[1]apoio_Preços_MGS!$A$6:$AN$238,20,FALSE)</f>
        <v>0</v>
      </c>
      <c r="P287" s="40">
        <f>VLOOKUP(D287,[1]apoio_Preços_MGS!$A$6:$AN$238,21,FALSE)</f>
        <v>0</v>
      </c>
      <c r="Q287" s="40">
        <f>VLOOKUP(D287,[1]apoio_Preços_MGS!$A$6:$AN$238,22,FALSE)</f>
        <v>0</v>
      </c>
      <c r="R287" s="40">
        <f>VLOOKUP(D287,[1]apoio_Preços_MGS!$A$6:$AN$238,23,FALSE)</f>
        <v>0</v>
      </c>
      <c r="S287" s="40">
        <f>VLOOKUP(D287,[1]apoio_Preços_MGS!$A$6:$AN$238,24,FALSE)</f>
        <v>0</v>
      </c>
      <c r="T287" s="40">
        <f>VLOOKUP(D287,[1]apoio_Preços_MGS!$A$6:$AN$238,25,FALSE)</f>
        <v>0</v>
      </c>
      <c r="U287" s="40">
        <f t="shared" si="107"/>
        <v>3430.0256770000001</v>
      </c>
      <c r="V287" s="41">
        <f>VLOOKUP(D287,[1]apoio_Preços_MGS!$A$6:$AN$238,27,FALSE)</f>
        <v>0.81799999999999995</v>
      </c>
      <c r="W287" s="40">
        <f t="shared" si="108"/>
        <v>2805.7610037859999</v>
      </c>
      <c r="X287" s="40">
        <f>VLOOKUP(D287,[1]apoio_Preços_MGS!$A$6:$AN$238,29,FALSE)</f>
        <v>19.18</v>
      </c>
      <c r="Y287" s="40">
        <f>VLOOKUP(D287,[1]apoio_Preços_MGS!$A$6:$AN$238,30,FALSE)</f>
        <v>64.42014814814813</v>
      </c>
      <c r="Z287" s="40">
        <f t="shared" si="116"/>
        <v>83.600148148148122</v>
      </c>
      <c r="AA287" s="40">
        <f>VLOOKUP(D287,[1]apoio_Preços_MGS!$A$6:$AN$238,32,FALSE)</f>
        <v>5.0658840767999997</v>
      </c>
      <c r="AB287" s="40">
        <f>VLOOKUP(D287,[1]apoio_Preços_MGS!$A$6:$AN$238,33,FALSE)</f>
        <v>136.48266666666666</v>
      </c>
      <c r="AC287" s="41">
        <f>VLOOKUP(D287,[1]apoio_Preços_MGS!$A$6:$AN$238,34,FALSE)</f>
        <v>3.3072038509329153E-2</v>
      </c>
      <c r="AD287" s="40">
        <f>(U287+W287+Z287+AB287+AA287+VLOOKUP(C287,[1]apoio_Prec_Folha!$A:$S,7,FALSE))*AC287</f>
        <v>231.91817868396103</v>
      </c>
      <c r="AE287" s="42">
        <f>VLOOKUP(D287,[1]apoio_Preços_MGS!$A$6:$AN$238,36,FALSE)</f>
        <v>7.0000000000000007E-2</v>
      </c>
      <c r="AF287" s="40">
        <f>(U287+W287+Z287+AB287+AD287+AA287+VLOOKUP(C287,[1]apoio_Prec_Folha!$A:$S,7,FALSE))*AE287</f>
        <v>507.11034908531036</v>
      </c>
      <c r="AG287" s="40">
        <f t="shared" si="117"/>
        <v>7199.96</v>
      </c>
      <c r="AH287" s="43">
        <f t="shared" si="118"/>
        <v>8396.44</v>
      </c>
      <c r="AI287" s="43">
        <f t="shared" si="119"/>
        <v>100757.28</v>
      </c>
      <c r="AJ287" s="43">
        <f t="shared" si="120"/>
        <v>6045436.8000000007</v>
      </c>
      <c r="AK287" s="44">
        <f>VLOOKUP(D287,[1]apoio_Preços_MGS!$A$6:$AN$238,39,FALSE)</f>
        <v>200.00000000000003</v>
      </c>
      <c r="AL287" s="44">
        <f>IF(J287="demais municípios",VLOOKUP(D287,[1]apoio_Preços_MGS!$A$6:$AN$238,39,FALSE),0)</f>
        <v>0</v>
      </c>
      <c r="AM287" s="44">
        <f>TRUNC(ROUND(($I287)/(1-($I287)),5)*VLOOKUP(D287,[1]apoio_Preços_MGS!$A$6:$AN$238,39,FALSE)+VLOOKUP(D287,[1]apoio_Preços_MGS!$A$6:$AN$238,39,FALSE),2)</f>
        <v>210.52</v>
      </c>
      <c r="AN287" s="45">
        <f t="shared" si="129"/>
        <v>2526.2400000000002</v>
      </c>
      <c r="AO287" s="44">
        <f>VLOOKUP(D287,[1]apoio_Preços_MGS!$A$6:$AN$238,40,FALSE)</f>
        <v>551.58000000000004</v>
      </c>
      <c r="AP287" s="44">
        <f>IF(J287="demais municípios",VLOOKUP(D287,[1]apoio_Preços_MGS!$A$6:$AN$238,40,FALSE),0)</f>
        <v>0</v>
      </c>
      <c r="AQ287" s="44">
        <f>TRUNC(ROUND(($I287)/(1-($I287)),5)*VLOOKUP(D287,[1]apoio_Preços_MGS!$A$6:$AN$238,40,FALSE)+VLOOKUP(D287,[1]apoio_Preços_MGS!$A$6:$AN$238,40,FALSE),2)</f>
        <v>580.6</v>
      </c>
      <c r="AR287" s="45">
        <f t="shared" si="130"/>
        <v>6967.2000000000007</v>
      </c>
      <c r="AS287" s="45">
        <f t="shared" si="127"/>
        <v>9493.44</v>
      </c>
      <c r="AT287" s="45">
        <f t="shared" si="128"/>
        <v>569606.40000000002</v>
      </c>
      <c r="AU287" s="62"/>
      <c r="AV287" s="46"/>
      <c r="AW287" s="47"/>
      <c r="AX287" s="48"/>
      <c r="AY287" s="49"/>
      <c r="BA287" s="48"/>
    </row>
    <row r="288" spans="1:53" ht="19.5" customHeight="1" x14ac:dyDescent="0.25">
      <c r="A288" s="33" t="str">
        <f t="shared" si="123"/>
        <v>106330400,05</v>
      </c>
      <c r="B288" s="33" t="str">
        <f t="shared" si="124"/>
        <v>11690,05</v>
      </c>
      <c r="C288" s="34" t="str">
        <f>VLOOKUP(D288,[1]apoio_Preços_MGS!$A$6:$B$238,2,FALSE)</f>
        <v>ENCARREGADO</v>
      </c>
      <c r="D288" s="35">
        <v>1169</v>
      </c>
      <c r="E288" s="33" t="str">
        <f>VLOOKUP(D288,[1]apoio_Preços_MGS!$A$6:$F$238,6,FALSE)</f>
        <v>ENCARREGADO - (PERIC.) - DIARISTA DIURNO</v>
      </c>
      <c r="F288" s="36">
        <f>IFERROR(VLOOKUP(D288,'[1]apoio_cód catmas'!$B$2:$C$863,2,FALSE),0)</f>
        <v>106330</v>
      </c>
      <c r="G288" s="33" t="str">
        <f>IF(H288="N/A",VLOOKUP(F288&amp;40,'[1]apoio_cód catmas'!$A$1:$G$233,4,FALSE),VLOOKUP(F288&amp;H288,'[1]apoio_cód catmas'!$A$1:$G$233,4,FALSE))</f>
        <v>ENCARREGADO  - (PERICULOSIDADE)  -  3OH, 36H, 40H OU 44 H</v>
      </c>
      <c r="H288" s="36">
        <v>40</v>
      </c>
      <c r="I288" s="37">
        <v>0.05</v>
      </c>
      <c r="J288" s="38" t="s">
        <v>47</v>
      </c>
      <c r="K288" s="39">
        <v>2</v>
      </c>
      <c r="L288" s="39">
        <f t="shared" si="113"/>
        <v>120</v>
      </c>
      <c r="M288" s="40">
        <f>VLOOKUP(D288,[1]apoio_Preços_MGS!$A$6:$AN$238,18,FALSE)</f>
        <v>2708.6688517628227</v>
      </c>
      <c r="N288" s="40">
        <f>VLOOKUP(D288,[1]apoio_Preços_MGS!$A$6:$AN$238,19,FALSE)</f>
        <v>812.6006555288468</v>
      </c>
      <c r="O288" s="40">
        <f>VLOOKUP(D288,[1]apoio_Preços_MGS!$A$6:$AN$238,20,FALSE)</f>
        <v>0</v>
      </c>
      <c r="P288" s="40">
        <f>VLOOKUP(D288,[1]apoio_Preços_MGS!$A$6:$AN$238,21,FALSE)</f>
        <v>0</v>
      </c>
      <c r="Q288" s="40">
        <f>VLOOKUP(D288,[1]apoio_Preços_MGS!$A$6:$AN$238,22,FALSE)</f>
        <v>0</v>
      </c>
      <c r="R288" s="40">
        <f>VLOOKUP(D288,[1]apoio_Preços_MGS!$A$6:$AN$238,23,FALSE)</f>
        <v>0</v>
      </c>
      <c r="S288" s="40">
        <f>VLOOKUP(D288,[1]apoio_Preços_MGS!$A$6:$AN$238,24,FALSE)</f>
        <v>0</v>
      </c>
      <c r="T288" s="40">
        <f>VLOOKUP(D288,[1]apoio_Preços_MGS!$A$6:$AN$238,25,FALSE)</f>
        <v>0</v>
      </c>
      <c r="U288" s="40">
        <f t="shared" si="107"/>
        <v>3521.2695072916695</v>
      </c>
      <c r="V288" s="41">
        <f>VLOOKUP(D288,[1]apoio_Preços_MGS!$A$6:$AN$238,27,FALSE)</f>
        <v>0.81799999999999995</v>
      </c>
      <c r="W288" s="40">
        <f t="shared" si="108"/>
        <v>2880.3984569645854</v>
      </c>
      <c r="X288" s="40">
        <f>VLOOKUP(D288,[1]apoio_Preços_MGS!$A$6:$AN$238,29,FALSE)</f>
        <v>26.792727272727276</v>
      </c>
      <c r="Y288" s="40">
        <f>VLOOKUP(D288,[1]apoio_Preços_MGS!$A$6:$AN$238,30,FALSE)</f>
        <v>11.958255633255634</v>
      </c>
      <c r="Z288" s="40">
        <f t="shared" si="116"/>
        <v>38.750982905982909</v>
      </c>
      <c r="AA288" s="40">
        <f>VLOOKUP(D288,[1]apoio_Preços_MGS!$A$6:$AN$238,32,FALSE)</f>
        <v>5.2006441953846192</v>
      </c>
      <c r="AB288" s="40">
        <f>VLOOKUP(D288,[1]apoio_Preços_MGS!$A$6:$AN$238,33,FALSE)</f>
        <v>146.4710351981351</v>
      </c>
      <c r="AC288" s="41">
        <f>VLOOKUP(D288,[1]apoio_Preços_MGS!$A$6:$AN$238,34,FALSE)</f>
        <v>0</v>
      </c>
      <c r="AD288" s="40">
        <f>(U288+W288+Z288+AB288+AA288+VLOOKUP(C288,[1]apoio_Prec_Folha!$A:$S,7,FALSE))*AC288</f>
        <v>0</v>
      </c>
      <c r="AE288" s="42">
        <f>VLOOKUP(D288,[1]apoio_Preços_MGS!$A$6:$AN$238,36,FALSE)</f>
        <v>7.0000000000000007E-2</v>
      </c>
      <c r="AF288" s="40">
        <f>(U288+W288+Z288+AB288+AD288+AA288+VLOOKUP(C288,[1]apoio_Prec_Folha!$A:$S,7,FALSE))*AE288</f>
        <v>499.93611308967235</v>
      </c>
      <c r="AG288" s="40">
        <f t="shared" si="117"/>
        <v>7092.02</v>
      </c>
      <c r="AH288" s="43">
        <f t="shared" si="118"/>
        <v>8270.57</v>
      </c>
      <c r="AI288" s="43">
        <f t="shared" si="119"/>
        <v>16541.14</v>
      </c>
      <c r="AJ288" s="43">
        <f t="shared" si="120"/>
        <v>992468.39999999991</v>
      </c>
      <c r="AK288" s="44">
        <f>VLOOKUP(D288,[1]apoio_Preços_MGS!$A$6:$AN$238,39,FALSE)</f>
        <v>181.81818181818184</v>
      </c>
      <c r="AL288" s="44">
        <f>IF(J288="demais municípios",VLOOKUP(D288,[1]apoio_Preços_MGS!$A$6:$AN$238,39,FALSE),0)</f>
        <v>0</v>
      </c>
      <c r="AM288" s="44">
        <f>TRUNC(ROUND(($I288)/(1-($I288)),5)*VLOOKUP(D288,[1]apoio_Preços_MGS!$A$6:$AN$238,39,FALSE)+VLOOKUP(D288,[1]apoio_Preços_MGS!$A$6:$AN$238,39,FALSE),2)</f>
        <v>191.38</v>
      </c>
      <c r="AN288" s="45">
        <f t="shared" si="129"/>
        <v>382.76</v>
      </c>
      <c r="AO288" s="44">
        <f>VLOOKUP(D288,[1]apoio_Preços_MGS!$A$6:$AN$238,40,FALSE)</f>
        <v>549.85</v>
      </c>
      <c r="AP288" s="44">
        <f>IF(J288="demais municípios",VLOOKUP(D288,[1]apoio_Preços_MGS!$A$6:$AN$238,40,FALSE),0)</f>
        <v>0</v>
      </c>
      <c r="AQ288" s="44">
        <f>TRUNC(ROUND(($I288)/(1-($I288)),5)*VLOOKUP(D288,[1]apoio_Preços_MGS!$A$6:$AN$238,40,FALSE)+VLOOKUP(D288,[1]apoio_Preços_MGS!$A$6:$AN$238,40,FALSE),2)</f>
        <v>578.78</v>
      </c>
      <c r="AR288" s="45">
        <f t="shared" si="130"/>
        <v>1157.56</v>
      </c>
      <c r="AS288" s="45">
        <f t="shared" si="127"/>
        <v>1540.32</v>
      </c>
      <c r="AT288" s="45">
        <f t="shared" si="128"/>
        <v>92419.199999999997</v>
      </c>
      <c r="AU288" s="62"/>
      <c r="AV288" s="46"/>
      <c r="AW288" s="47"/>
      <c r="AX288" s="48"/>
      <c r="AY288" s="49"/>
      <c r="BA288" s="48"/>
    </row>
    <row r="289" spans="1:53" ht="19.5" customHeight="1" x14ac:dyDescent="0.25">
      <c r="A289" s="33" t="str">
        <f t="shared" si="123"/>
        <v>105554400,02</v>
      </c>
      <c r="B289" s="33" t="str">
        <f t="shared" si="124"/>
        <v>11720,02</v>
      </c>
      <c r="C289" s="34" t="str">
        <f>VLOOKUP(D289,[1]apoio_Preços_MGS!$A$6:$B$238,2,FALSE)</f>
        <v>ENCARREGADO</v>
      </c>
      <c r="D289" s="35">
        <v>1172</v>
      </c>
      <c r="E289" s="33" t="str">
        <f>VLOOKUP(D289,[1]apoio_Preços_MGS!$A$6:$F$238,6,FALSE)</f>
        <v>ENCARREGADO - DIARISTA DIURNO</v>
      </c>
      <c r="F289" s="36">
        <f>IFERROR(VLOOKUP(D289,'[1]apoio_cód catmas'!$B$2:$C$863,2,FALSE),0)</f>
        <v>105554</v>
      </c>
      <c r="G289" s="33" t="str">
        <f>IF(H289="N/A",VLOOKUP(F289&amp;40,'[1]apoio_cód catmas'!$A$1:$G$233,4,FALSE),VLOOKUP(F289&amp;H289,'[1]apoio_cód catmas'!$A$1:$G$233,4,FALSE))</f>
        <v>ENCARREGADO  - 30H, 36H, 40H OU 44H</v>
      </c>
      <c r="H289" s="36">
        <v>40</v>
      </c>
      <c r="I289" s="37">
        <v>0.02</v>
      </c>
      <c r="J289" s="38" t="s">
        <v>46</v>
      </c>
      <c r="K289" s="39">
        <v>5</v>
      </c>
      <c r="L289" s="39">
        <f t="shared" si="113"/>
        <v>300</v>
      </c>
      <c r="M289" s="40">
        <f>VLOOKUP(D289,[1]apoio_Preços_MGS!$A$6:$AN$238,18,FALSE)</f>
        <v>2708.6688517628227</v>
      </c>
      <c r="N289" s="40">
        <f>VLOOKUP(D289,[1]apoio_Preços_MGS!$A$6:$AN$238,19,FALSE)</f>
        <v>0</v>
      </c>
      <c r="O289" s="40">
        <f>VLOOKUP(D289,[1]apoio_Preços_MGS!$A$6:$AN$238,20,FALSE)</f>
        <v>0</v>
      </c>
      <c r="P289" s="40">
        <f>VLOOKUP(D289,[1]apoio_Preços_MGS!$A$6:$AN$238,21,FALSE)</f>
        <v>0</v>
      </c>
      <c r="Q289" s="40">
        <f>VLOOKUP(D289,[1]apoio_Preços_MGS!$A$6:$AN$238,22,FALSE)</f>
        <v>0</v>
      </c>
      <c r="R289" s="40">
        <f>VLOOKUP(D289,[1]apoio_Preços_MGS!$A$6:$AN$238,23,FALSE)</f>
        <v>0</v>
      </c>
      <c r="S289" s="40">
        <f>VLOOKUP(D289,[1]apoio_Preços_MGS!$A$6:$AN$238,24,FALSE)</f>
        <v>0</v>
      </c>
      <c r="T289" s="40">
        <f>VLOOKUP(D289,[1]apoio_Preços_MGS!$A$6:$AN$238,25,FALSE)</f>
        <v>0</v>
      </c>
      <c r="U289" s="40">
        <f t="shared" si="107"/>
        <v>2708.6688517628227</v>
      </c>
      <c r="V289" s="41">
        <f>VLOOKUP(D289,[1]apoio_Preços_MGS!$A$6:$AN$238,27,FALSE)</f>
        <v>0.81799999999999995</v>
      </c>
      <c r="W289" s="40">
        <f t="shared" si="108"/>
        <v>2215.6911207419889</v>
      </c>
      <c r="X289" s="40">
        <f>VLOOKUP(D289,[1]apoio_Preços_MGS!$A$6:$AN$238,29,FALSE)</f>
        <v>26.792727272727276</v>
      </c>
      <c r="Y289" s="40">
        <f>VLOOKUP(D289,[1]apoio_Preços_MGS!$A$6:$AN$238,30,FALSE)</f>
        <v>11.958255633255634</v>
      </c>
      <c r="Z289" s="40">
        <f t="shared" si="116"/>
        <v>38.750982905982909</v>
      </c>
      <c r="AA289" s="40">
        <f>VLOOKUP(D289,[1]apoio_Preços_MGS!$A$6:$AN$238,32,FALSE)</f>
        <v>5.2006441953846192</v>
      </c>
      <c r="AB289" s="40">
        <f>VLOOKUP(D289,[1]apoio_Preços_MGS!$A$6:$AN$238,33,FALSE)</f>
        <v>146.4710351981351</v>
      </c>
      <c r="AC289" s="41">
        <f>VLOOKUP(D289,[1]apoio_Preços_MGS!$A$6:$AN$238,34,FALSE)</f>
        <v>0</v>
      </c>
      <c r="AD289" s="40">
        <f>(U289+W289+Z289+AB289+AA289+VLOOKUP(C289,[1]apoio_Prec_Folha!$A:$S,7,FALSE))*AC289</f>
        <v>0</v>
      </c>
      <c r="AE289" s="42">
        <f>VLOOKUP(D289,[1]apoio_Preços_MGS!$A$6:$AN$238,36,FALSE)</f>
        <v>7.0000000000000007E-2</v>
      </c>
      <c r="AF289" s="40">
        <f>(U289+W289+Z289+AB289+AD289+AA289+VLOOKUP(C289,[1]apoio_Prec_Folha!$A:$S,7,FALSE))*AE289</f>
        <v>396.5245536670713</v>
      </c>
      <c r="AG289" s="40">
        <f t="shared" si="117"/>
        <v>5511.3</v>
      </c>
      <c r="AH289" s="43">
        <f t="shared" si="118"/>
        <v>6209.91</v>
      </c>
      <c r="AI289" s="43">
        <f t="shared" si="119"/>
        <v>31049.55</v>
      </c>
      <c r="AJ289" s="43">
        <f t="shared" si="120"/>
        <v>1862973</v>
      </c>
      <c r="AK289" s="44">
        <f>VLOOKUP(D289,[1]apoio_Preços_MGS!$A$6:$AN$238,39,FALSE)</f>
        <v>181.81818181818184</v>
      </c>
      <c r="AL289" s="44">
        <f>IF(J289="demais municípios",VLOOKUP(D289,[1]apoio_Preços_MGS!$A$6:$AN$238,39,FALSE),0)</f>
        <v>181.81818181818184</v>
      </c>
      <c r="AM289" s="44">
        <v>0</v>
      </c>
      <c r="AN289" s="45">
        <f t="shared" ref="AN289:AN295" si="139">AK289*K289</f>
        <v>909.09090909090924</v>
      </c>
      <c r="AO289" s="44">
        <f>VLOOKUP(D289,[1]apoio_Preços_MGS!$A$6:$AN$238,40,FALSE)</f>
        <v>549.85</v>
      </c>
      <c r="AP289" s="44">
        <f>IF(J289="demais municípios",VLOOKUP(D289,[1]apoio_Preços_MGS!$A$6:$AN$238,40,FALSE),0)</f>
        <v>549.85</v>
      </c>
      <c r="AQ289" s="44">
        <v>0</v>
      </c>
      <c r="AR289" s="45">
        <f t="shared" ref="AR289:AR295" si="140">AO289*K289</f>
        <v>2749.25</v>
      </c>
      <c r="AS289" s="45">
        <f t="shared" si="127"/>
        <v>3658.340909090909</v>
      </c>
      <c r="AT289" s="45">
        <f t="shared" si="128"/>
        <v>219500.45454545453</v>
      </c>
      <c r="AU289" s="62"/>
      <c r="AV289" s="46"/>
      <c r="AW289" s="47"/>
      <c r="AX289" s="48"/>
      <c r="AY289" s="49"/>
      <c r="BA289" s="48"/>
    </row>
    <row r="290" spans="1:53" ht="19.5" customHeight="1" x14ac:dyDescent="0.25">
      <c r="A290" s="33" t="str">
        <f t="shared" si="123"/>
        <v>105554400,03</v>
      </c>
      <c r="B290" s="33" t="str">
        <f t="shared" si="124"/>
        <v>11720,03</v>
      </c>
      <c r="C290" s="34" t="str">
        <f>VLOOKUP(D290,[1]apoio_Preços_MGS!$A$6:$B$238,2,FALSE)</f>
        <v>ENCARREGADO</v>
      </c>
      <c r="D290" s="35">
        <v>1172</v>
      </c>
      <c r="E290" s="33" t="str">
        <f>VLOOKUP(D290,[1]apoio_Preços_MGS!$A$6:$F$238,6,FALSE)</f>
        <v>ENCARREGADO - DIARISTA DIURNO</v>
      </c>
      <c r="F290" s="36">
        <f>IFERROR(VLOOKUP(D290,'[1]apoio_cód catmas'!$B$2:$C$863,2,FALSE),0)</f>
        <v>105554</v>
      </c>
      <c r="G290" s="33" t="str">
        <f>IF(H290="N/A",VLOOKUP(F290&amp;40,'[1]apoio_cód catmas'!$A$1:$G$233,4,FALSE),VLOOKUP(F290&amp;H290,'[1]apoio_cód catmas'!$A$1:$G$233,4,FALSE))</f>
        <v>ENCARREGADO  - 30H, 36H, 40H OU 44H</v>
      </c>
      <c r="H290" s="36">
        <v>40</v>
      </c>
      <c r="I290" s="37">
        <v>0.03</v>
      </c>
      <c r="J290" s="38" t="s">
        <v>46</v>
      </c>
      <c r="K290" s="39">
        <f>18-1</f>
        <v>17</v>
      </c>
      <c r="L290" s="39">
        <f t="shared" si="113"/>
        <v>1020</v>
      </c>
      <c r="M290" s="40">
        <f>VLOOKUP(D290,[1]apoio_Preços_MGS!$A$6:$AN$238,18,FALSE)</f>
        <v>2708.6688517628227</v>
      </c>
      <c r="N290" s="40">
        <f>VLOOKUP(D290,[1]apoio_Preços_MGS!$A$6:$AN$238,19,FALSE)</f>
        <v>0</v>
      </c>
      <c r="O290" s="40">
        <f>VLOOKUP(D290,[1]apoio_Preços_MGS!$A$6:$AN$238,20,FALSE)</f>
        <v>0</v>
      </c>
      <c r="P290" s="40">
        <f>VLOOKUP(D290,[1]apoio_Preços_MGS!$A$6:$AN$238,21,FALSE)</f>
        <v>0</v>
      </c>
      <c r="Q290" s="40">
        <f>VLOOKUP(D290,[1]apoio_Preços_MGS!$A$6:$AN$238,22,FALSE)</f>
        <v>0</v>
      </c>
      <c r="R290" s="40">
        <f>VLOOKUP(D290,[1]apoio_Preços_MGS!$A$6:$AN$238,23,FALSE)</f>
        <v>0</v>
      </c>
      <c r="S290" s="40">
        <f>VLOOKUP(D290,[1]apoio_Preços_MGS!$A$6:$AN$238,24,FALSE)</f>
        <v>0</v>
      </c>
      <c r="T290" s="40">
        <f>VLOOKUP(D290,[1]apoio_Preços_MGS!$A$6:$AN$238,25,FALSE)</f>
        <v>0</v>
      </c>
      <c r="U290" s="40">
        <f t="shared" si="107"/>
        <v>2708.6688517628227</v>
      </c>
      <c r="V290" s="41">
        <f>VLOOKUP(D290,[1]apoio_Preços_MGS!$A$6:$AN$238,27,FALSE)</f>
        <v>0.81799999999999995</v>
      </c>
      <c r="W290" s="40">
        <f t="shared" si="108"/>
        <v>2215.6911207419889</v>
      </c>
      <c r="X290" s="40">
        <f>VLOOKUP(D290,[1]apoio_Preços_MGS!$A$6:$AN$238,29,FALSE)</f>
        <v>26.792727272727276</v>
      </c>
      <c r="Y290" s="40">
        <f>VLOOKUP(D290,[1]apoio_Preços_MGS!$A$6:$AN$238,30,FALSE)</f>
        <v>11.958255633255634</v>
      </c>
      <c r="Z290" s="40">
        <f t="shared" si="116"/>
        <v>38.750982905982909</v>
      </c>
      <c r="AA290" s="40">
        <f>VLOOKUP(D290,[1]apoio_Preços_MGS!$A$6:$AN$238,32,FALSE)</f>
        <v>5.2006441953846192</v>
      </c>
      <c r="AB290" s="40">
        <f>VLOOKUP(D290,[1]apoio_Preços_MGS!$A$6:$AN$238,33,FALSE)</f>
        <v>146.4710351981351</v>
      </c>
      <c r="AC290" s="41">
        <f>VLOOKUP(D290,[1]apoio_Preços_MGS!$A$6:$AN$238,34,FALSE)</f>
        <v>0</v>
      </c>
      <c r="AD290" s="40">
        <f>(U290+W290+Z290+AB290+AA290+VLOOKUP(C290,[1]apoio_Prec_Folha!$A:$S,7,FALSE))*AC290</f>
        <v>0</v>
      </c>
      <c r="AE290" s="42">
        <f>VLOOKUP(D290,[1]apoio_Preços_MGS!$A$6:$AN$238,36,FALSE)</f>
        <v>7.0000000000000007E-2</v>
      </c>
      <c r="AF290" s="40">
        <f>(U290+W290+Z290+AB290+AD290+AA290+VLOOKUP(C290,[1]apoio_Prec_Folha!$A:$S,7,FALSE))*AE290</f>
        <v>396.5245536670713</v>
      </c>
      <c r="AG290" s="40">
        <f t="shared" si="117"/>
        <v>5511.3</v>
      </c>
      <c r="AH290" s="43">
        <f t="shared" si="118"/>
        <v>6280.67</v>
      </c>
      <c r="AI290" s="43">
        <f t="shared" si="119"/>
        <v>106771.39</v>
      </c>
      <c r="AJ290" s="43">
        <f t="shared" si="120"/>
        <v>6406283.4000000004</v>
      </c>
      <c r="AK290" s="44">
        <f>VLOOKUP(D290,[1]apoio_Preços_MGS!$A$6:$AN$238,39,FALSE)</f>
        <v>181.81818181818184</v>
      </c>
      <c r="AL290" s="44">
        <f>IF(J290="demais municípios",VLOOKUP(D290,[1]apoio_Preços_MGS!$A$6:$AN$238,39,FALSE),0)</f>
        <v>181.81818181818184</v>
      </c>
      <c r="AM290" s="44">
        <v>0</v>
      </c>
      <c r="AN290" s="45">
        <f t="shared" si="139"/>
        <v>3090.9090909090914</v>
      </c>
      <c r="AO290" s="44">
        <f>VLOOKUP(D290,[1]apoio_Preços_MGS!$A$6:$AN$238,40,FALSE)</f>
        <v>549.85</v>
      </c>
      <c r="AP290" s="44">
        <f>IF(J290="demais municípios",VLOOKUP(D290,[1]apoio_Preços_MGS!$A$6:$AN$238,40,FALSE),0)</f>
        <v>549.85</v>
      </c>
      <c r="AQ290" s="44">
        <v>0</v>
      </c>
      <c r="AR290" s="45">
        <f t="shared" si="140"/>
        <v>9347.4500000000007</v>
      </c>
      <c r="AS290" s="45">
        <f t="shared" si="127"/>
        <v>12438.359090909093</v>
      </c>
      <c r="AT290" s="45">
        <f t="shared" si="128"/>
        <v>746301.54545454553</v>
      </c>
      <c r="AU290" s="62"/>
      <c r="AV290" s="46"/>
      <c r="AW290" s="47"/>
      <c r="AX290" s="48"/>
      <c r="AY290" s="49"/>
      <c r="BA290" s="48"/>
    </row>
    <row r="291" spans="1:53" ht="19.5" customHeight="1" x14ac:dyDescent="0.25">
      <c r="A291" s="33" t="str">
        <f t="shared" si="123"/>
        <v>105554400,035</v>
      </c>
      <c r="B291" s="33" t="str">
        <f t="shared" si="124"/>
        <v>11720,035</v>
      </c>
      <c r="C291" s="34" t="str">
        <f>VLOOKUP(D291,[1]apoio_Preços_MGS!$A$6:$B$238,2,FALSE)</f>
        <v>ENCARREGADO</v>
      </c>
      <c r="D291" s="35">
        <v>1172</v>
      </c>
      <c r="E291" s="33" t="str">
        <f>VLOOKUP(D291,[1]apoio_Preços_MGS!$A$6:$F$238,6,FALSE)</f>
        <v>ENCARREGADO - DIARISTA DIURNO</v>
      </c>
      <c r="F291" s="36">
        <f>IFERROR(VLOOKUP(D291,'[1]apoio_cód catmas'!$B$2:$C$863,2,FALSE),0)</f>
        <v>105554</v>
      </c>
      <c r="G291" s="33" t="str">
        <f>IF(H291="N/A",VLOOKUP(F291&amp;40,'[1]apoio_cód catmas'!$A$1:$G$233,4,FALSE),VLOOKUP(F291&amp;H291,'[1]apoio_cód catmas'!$A$1:$G$233,4,FALSE))</f>
        <v>ENCARREGADO  - 30H, 36H, 40H OU 44H</v>
      </c>
      <c r="H291" s="36">
        <v>40</v>
      </c>
      <c r="I291" s="37">
        <v>3.5000000000000003E-2</v>
      </c>
      <c r="J291" s="38" t="s">
        <v>46</v>
      </c>
      <c r="K291" s="39">
        <v>2</v>
      </c>
      <c r="L291" s="39">
        <f t="shared" si="113"/>
        <v>120</v>
      </c>
      <c r="M291" s="40">
        <f>VLOOKUP(D291,[1]apoio_Preços_MGS!$A$6:$AN$238,18,FALSE)</f>
        <v>2708.6688517628227</v>
      </c>
      <c r="N291" s="40">
        <f>VLOOKUP(D291,[1]apoio_Preços_MGS!$A$6:$AN$238,19,FALSE)</f>
        <v>0</v>
      </c>
      <c r="O291" s="40">
        <f>VLOOKUP(D291,[1]apoio_Preços_MGS!$A$6:$AN$238,20,FALSE)</f>
        <v>0</v>
      </c>
      <c r="P291" s="40">
        <f>VLOOKUP(D291,[1]apoio_Preços_MGS!$A$6:$AN$238,21,FALSE)</f>
        <v>0</v>
      </c>
      <c r="Q291" s="40">
        <f>VLOOKUP(D291,[1]apoio_Preços_MGS!$A$6:$AN$238,22,FALSE)</f>
        <v>0</v>
      </c>
      <c r="R291" s="40">
        <f>VLOOKUP(D291,[1]apoio_Preços_MGS!$A$6:$AN$238,23,FALSE)</f>
        <v>0</v>
      </c>
      <c r="S291" s="40">
        <f>VLOOKUP(D291,[1]apoio_Preços_MGS!$A$6:$AN$238,24,FALSE)</f>
        <v>0</v>
      </c>
      <c r="T291" s="40">
        <f>VLOOKUP(D291,[1]apoio_Preços_MGS!$A$6:$AN$238,25,FALSE)</f>
        <v>0</v>
      </c>
      <c r="U291" s="40">
        <f t="shared" si="107"/>
        <v>2708.6688517628227</v>
      </c>
      <c r="V291" s="41">
        <f>VLOOKUP(D291,[1]apoio_Preços_MGS!$A$6:$AN$238,27,FALSE)</f>
        <v>0.81799999999999995</v>
      </c>
      <c r="W291" s="40">
        <f t="shared" si="108"/>
        <v>2215.6911207419889</v>
      </c>
      <c r="X291" s="40">
        <f>VLOOKUP(D291,[1]apoio_Preços_MGS!$A$6:$AN$238,29,FALSE)</f>
        <v>26.792727272727276</v>
      </c>
      <c r="Y291" s="40">
        <f>VLOOKUP(D291,[1]apoio_Preços_MGS!$A$6:$AN$238,30,FALSE)</f>
        <v>11.958255633255634</v>
      </c>
      <c r="Z291" s="40">
        <f t="shared" si="116"/>
        <v>38.750982905982909</v>
      </c>
      <c r="AA291" s="40">
        <f>VLOOKUP(D291,[1]apoio_Preços_MGS!$A$6:$AN$238,32,FALSE)</f>
        <v>5.2006441953846192</v>
      </c>
      <c r="AB291" s="40">
        <f>VLOOKUP(D291,[1]apoio_Preços_MGS!$A$6:$AN$238,33,FALSE)</f>
        <v>146.4710351981351</v>
      </c>
      <c r="AC291" s="41">
        <f>VLOOKUP(D291,[1]apoio_Preços_MGS!$A$6:$AN$238,34,FALSE)</f>
        <v>0</v>
      </c>
      <c r="AD291" s="40">
        <f>(U291+W291+Z291+AB291+AA291+VLOOKUP(C291,[1]apoio_Prec_Folha!$A:$S,7,FALSE))*AC291</f>
        <v>0</v>
      </c>
      <c r="AE291" s="42">
        <f>VLOOKUP(D291,[1]apoio_Preços_MGS!$A$6:$AN$238,36,FALSE)</f>
        <v>7.0000000000000007E-2</v>
      </c>
      <c r="AF291" s="40">
        <f>(U291+W291+Z291+AB291+AD291+AA291+VLOOKUP(C291,[1]apoio_Prec_Folha!$A:$S,7,FALSE))*AE291</f>
        <v>396.5245536670713</v>
      </c>
      <c r="AG291" s="40">
        <f t="shared" si="117"/>
        <v>5511.3</v>
      </c>
      <c r="AH291" s="43">
        <f t="shared" si="118"/>
        <v>6316.66</v>
      </c>
      <c r="AI291" s="43">
        <f t="shared" si="119"/>
        <v>12633.32</v>
      </c>
      <c r="AJ291" s="43">
        <f t="shared" si="120"/>
        <v>757999.2</v>
      </c>
      <c r="AK291" s="44">
        <f>VLOOKUP(D291,[1]apoio_Preços_MGS!$A$6:$AN$238,39,FALSE)</f>
        <v>181.81818181818184</v>
      </c>
      <c r="AL291" s="44">
        <f>IF(J291="demais municípios",VLOOKUP(D291,[1]apoio_Preços_MGS!$A$6:$AN$238,39,FALSE),0)</f>
        <v>181.81818181818184</v>
      </c>
      <c r="AM291" s="44">
        <v>0</v>
      </c>
      <c r="AN291" s="45">
        <f t="shared" si="139"/>
        <v>363.63636363636368</v>
      </c>
      <c r="AO291" s="44">
        <f>VLOOKUP(D291,[1]apoio_Preços_MGS!$A$6:$AN$238,40,FALSE)</f>
        <v>549.85</v>
      </c>
      <c r="AP291" s="44">
        <f>IF(J291="demais municípios",VLOOKUP(D291,[1]apoio_Preços_MGS!$A$6:$AN$238,40,FALSE),0)</f>
        <v>549.85</v>
      </c>
      <c r="AQ291" s="44">
        <v>0</v>
      </c>
      <c r="AR291" s="45">
        <f t="shared" si="140"/>
        <v>1099.7</v>
      </c>
      <c r="AS291" s="45">
        <f t="shared" si="127"/>
        <v>1463.3363636363638</v>
      </c>
      <c r="AT291" s="45">
        <f t="shared" si="128"/>
        <v>87800.181818181823</v>
      </c>
      <c r="AU291" s="62"/>
      <c r="AV291" s="46"/>
      <c r="AW291" s="47"/>
      <c r="AX291" s="48"/>
      <c r="AY291" s="49"/>
      <c r="BA291" s="48"/>
    </row>
    <row r="292" spans="1:53" ht="19.5" customHeight="1" x14ac:dyDescent="0.25">
      <c r="A292" s="33" t="str">
        <f t="shared" si="123"/>
        <v>105554400,038</v>
      </c>
      <c r="B292" s="33" t="str">
        <f t="shared" si="124"/>
        <v>11720,038</v>
      </c>
      <c r="C292" s="34" t="str">
        <f>VLOOKUP(D292,[1]apoio_Preços_MGS!$A$6:$B$238,2,FALSE)</f>
        <v>ENCARREGADO</v>
      </c>
      <c r="D292" s="35">
        <v>1172</v>
      </c>
      <c r="E292" s="33" t="str">
        <f>VLOOKUP(D292,[1]apoio_Preços_MGS!$A$6:$F$238,6,FALSE)</f>
        <v>ENCARREGADO - DIARISTA DIURNO</v>
      </c>
      <c r="F292" s="36">
        <f>IFERROR(VLOOKUP(D292,'[1]apoio_cód catmas'!$B$2:$C$863,2,FALSE),0)</f>
        <v>105554</v>
      </c>
      <c r="G292" s="33" t="str">
        <f>IF(H292="N/A",VLOOKUP(F292&amp;40,'[1]apoio_cód catmas'!$A$1:$G$233,4,FALSE),VLOOKUP(F292&amp;H292,'[1]apoio_cód catmas'!$A$1:$G$233,4,FALSE))</f>
        <v>ENCARREGADO  - 30H, 36H, 40H OU 44H</v>
      </c>
      <c r="H292" s="36">
        <v>40</v>
      </c>
      <c r="I292" s="37">
        <v>3.7999999999999999E-2</v>
      </c>
      <c r="J292" s="38" t="s">
        <v>46</v>
      </c>
      <c r="K292" s="39">
        <v>2</v>
      </c>
      <c r="L292" s="39">
        <f t="shared" si="113"/>
        <v>120</v>
      </c>
      <c r="M292" s="40">
        <f>VLOOKUP(D292,[1]apoio_Preços_MGS!$A$6:$AN$238,18,FALSE)</f>
        <v>2708.6688517628227</v>
      </c>
      <c r="N292" s="40">
        <f>VLOOKUP(D292,[1]apoio_Preços_MGS!$A$6:$AN$238,19,FALSE)</f>
        <v>0</v>
      </c>
      <c r="O292" s="40">
        <f>VLOOKUP(D292,[1]apoio_Preços_MGS!$A$6:$AN$238,20,FALSE)</f>
        <v>0</v>
      </c>
      <c r="P292" s="40">
        <f>VLOOKUP(D292,[1]apoio_Preços_MGS!$A$6:$AN$238,21,FALSE)</f>
        <v>0</v>
      </c>
      <c r="Q292" s="40">
        <f>VLOOKUP(D292,[1]apoio_Preços_MGS!$A$6:$AN$238,22,FALSE)</f>
        <v>0</v>
      </c>
      <c r="R292" s="40">
        <f>VLOOKUP(D292,[1]apoio_Preços_MGS!$A$6:$AN$238,23,FALSE)</f>
        <v>0</v>
      </c>
      <c r="S292" s="40">
        <f>VLOOKUP(D292,[1]apoio_Preços_MGS!$A$6:$AN$238,24,FALSE)</f>
        <v>0</v>
      </c>
      <c r="T292" s="40">
        <f>VLOOKUP(D292,[1]apoio_Preços_MGS!$A$6:$AN$238,25,FALSE)</f>
        <v>0</v>
      </c>
      <c r="U292" s="40">
        <f t="shared" si="107"/>
        <v>2708.6688517628227</v>
      </c>
      <c r="V292" s="41">
        <f>VLOOKUP(D292,[1]apoio_Preços_MGS!$A$6:$AN$238,27,FALSE)</f>
        <v>0.81799999999999995</v>
      </c>
      <c r="W292" s="40">
        <f t="shared" si="108"/>
        <v>2215.6911207419889</v>
      </c>
      <c r="X292" s="40">
        <f>VLOOKUP(D292,[1]apoio_Preços_MGS!$A$6:$AN$238,29,FALSE)</f>
        <v>26.792727272727276</v>
      </c>
      <c r="Y292" s="40">
        <f>VLOOKUP(D292,[1]apoio_Preços_MGS!$A$6:$AN$238,30,FALSE)</f>
        <v>11.958255633255634</v>
      </c>
      <c r="Z292" s="40">
        <f t="shared" si="116"/>
        <v>38.750982905982909</v>
      </c>
      <c r="AA292" s="40">
        <f>VLOOKUP(D292,[1]apoio_Preços_MGS!$A$6:$AN$238,32,FALSE)</f>
        <v>5.2006441953846192</v>
      </c>
      <c r="AB292" s="40">
        <f>VLOOKUP(D292,[1]apoio_Preços_MGS!$A$6:$AN$238,33,FALSE)</f>
        <v>146.4710351981351</v>
      </c>
      <c r="AC292" s="41">
        <f>VLOOKUP(D292,[1]apoio_Preços_MGS!$A$6:$AN$238,34,FALSE)</f>
        <v>0</v>
      </c>
      <c r="AD292" s="40">
        <f>(U292+W292+Z292+AB292+AA292+VLOOKUP(C292,[1]apoio_Prec_Folha!$A:$S,7,FALSE))*AC292</f>
        <v>0</v>
      </c>
      <c r="AE292" s="42">
        <f>VLOOKUP(D292,[1]apoio_Preços_MGS!$A$6:$AN$238,36,FALSE)</f>
        <v>7.0000000000000007E-2</v>
      </c>
      <c r="AF292" s="40">
        <f>(U292+W292+Z292+AB292+AD292+AA292+VLOOKUP(C292,[1]apoio_Prec_Folha!$A:$S,7,FALSE))*AE292</f>
        <v>396.5245536670713</v>
      </c>
      <c r="AG292" s="40">
        <f t="shared" si="117"/>
        <v>5511.3</v>
      </c>
      <c r="AH292" s="43">
        <f t="shared" si="118"/>
        <v>6338.49</v>
      </c>
      <c r="AI292" s="43">
        <f t="shared" si="119"/>
        <v>12676.98</v>
      </c>
      <c r="AJ292" s="43">
        <f t="shared" si="120"/>
        <v>760618.79999999993</v>
      </c>
      <c r="AK292" s="44">
        <f>VLOOKUP(D292,[1]apoio_Preços_MGS!$A$6:$AN$238,39,FALSE)</f>
        <v>181.81818181818184</v>
      </c>
      <c r="AL292" s="44">
        <f>IF(J292="demais municípios",VLOOKUP(D292,[1]apoio_Preços_MGS!$A$6:$AN$238,39,FALSE),0)</f>
        <v>181.81818181818184</v>
      </c>
      <c r="AM292" s="44">
        <v>0</v>
      </c>
      <c r="AN292" s="45">
        <f t="shared" si="139"/>
        <v>363.63636363636368</v>
      </c>
      <c r="AO292" s="44">
        <f>VLOOKUP(D292,[1]apoio_Preços_MGS!$A$6:$AN$238,40,FALSE)</f>
        <v>549.85</v>
      </c>
      <c r="AP292" s="44">
        <f>IF(J292="demais municípios",VLOOKUP(D292,[1]apoio_Preços_MGS!$A$6:$AN$238,40,FALSE),0)</f>
        <v>549.85</v>
      </c>
      <c r="AQ292" s="44">
        <v>0</v>
      </c>
      <c r="AR292" s="45">
        <f t="shared" si="140"/>
        <v>1099.7</v>
      </c>
      <c r="AS292" s="45">
        <f t="shared" si="127"/>
        <v>1463.3363636363638</v>
      </c>
      <c r="AT292" s="45">
        <f t="shared" si="128"/>
        <v>87800.181818181823</v>
      </c>
      <c r="AU292" s="62"/>
      <c r="AV292" s="46"/>
      <c r="AW292" s="47"/>
      <c r="AX292" s="48"/>
      <c r="AY292" s="49"/>
      <c r="BA292" s="48"/>
    </row>
    <row r="293" spans="1:53" ht="19.5" customHeight="1" x14ac:dyDescent="0.25">
      <c r="A293" s="33" t="str">
        <f t="shared" si="123"/>
        <v>105554400,04</v>
      </c>
      <c r="B293" s="33" t="str">
        <f t="shared" si="124"/>
        <v>11720,04</v>
      </c>
      <c r="C293" s="34" t="str">
        <f>VLOOKUP(D293,[1]apoio_Preços_MGS!$A$6:$B$238,2,FALSE)</f>
        <v>ENCARREGADO</v>
      </c>
      <c r="D293" s="35">
        <v>1172</v>
      </c>
      <c r="E293" s="33" t="str">
        <f>VLOOKUP(D293,[1]apoio_Preços_MGS!$A$6:$F$238,6,FALSE)</f>
        <v>ENCARREGADO - DIARISTA DIURNO</v>
      </c>
      <c r="F293" s="36">
        <f>IFERROR(VLOOKUP(D293,'[1]apoio_cód catmas'!$B$2:$C$863,2,FALSE),0)</f>
        <v>105554</v>
      </c>
      <c r="G293" s="33" t="str">
        <f>IF(H293="N/A",VLOOKUP(F293&amp;40,'[1]apoio_cód catmas'!$A$1:$G$233,4,FALSE),VLOOKUP(F293&amp;H293,'[1]apoio_cód catmas'!$A$1:$G$233,4,FALSE))</f>
        <v>ENCARREGADO  - 30H, 36H, 40H OU 44H</v>
      </c>
      <c r="H293" s="36">
        <v>40</v>
      </c>
      <c r="I293" s="37">
        <v>0.04</v>
      </c>
      <c r="J293" s="38" t="s">
        <v>46</v>
      </c>
      <c r="K293" s="39">
        <v>1</v>
      </c>
      <c r="L293" s="39">
        <f t="shared" si="113"/>
        <v>60</v>
      </c>
      <c r="M293" s="40">
        <f>VLOOKUP(D293,[1]apoio_Preços_MGS!$A$6:$AN$238,18,FALSE)</f>
        <v>2708.6688517628227</v>
      </c>
      <c r="N293" s="40">
        <f>VLOOKUP(D293,[1]apoio_Preços_MGS!$A$6:$AN$238,19,FALSE)</f>
        <v>0</v>
      </c>
      <c r="O293" s="40">
        <f>VLOOKUP(D293,[1]apoio_Preços_MGS!$A$6:$AN$238,20,FALSE)</f>
        <v>0</v>
      </c>
      <c r="P293" s="40">
        <f>VLOOKUP(D293,[1]apoio_Preços_MGS!$A$6:$AN$238,21,FALSE)</f>
        <v>0</v>
      </c>
      <c r="Q293" s="40">
        <f>VLOOKUP(D293,[1]apoio_Preços_MGS!$A$6:$AN$238,22,FALSE)</f>
        <v>0</v>
      </c>
      <c r="R293" s="40">
        <f>VLOOKUP(D293,[1]apoio_Preços_MGS!$A$6:$AN$238,23,FALSE)</f>
        <v>0</v>
      </c>
      <c r="S293" s="40">
        <f>VLOOKUP(D293,[1]apoio_Preços_MGS!$A$6:$AN$238,24,FALSE)</f>
        <v>0</v>
      </c>
      <c r="T293" s="40">
        <f>VLOOKUP(D293,[1]apoio_Preços_MGS!$A$6:$AN$238,25,FALSE)</f>
        <v>0</v>
      </c>
      <c r="U293" s="40">
        <f t="shared" si="107"/>
        <v>2708.6688517628227</v>
      </c>
      <c r="V293" s="41">
        <f>VLOOKUP(D293,[1]apoio_Preços_MGS!$A$6:$AN$238,27,FALSE)</f>
        <v>0.81799999999999995</v>
      </c>
      <c r="W293" s="40">
        <f t="shared" si="108"/>
        <v>2215.6911207419889</v>
      </c>
      <c r="X293" s="40">
        <f>VLOOKUP(D293,[1]apoio_Preços_MGS!$A$6:$AN$238,29,FALSE)</f>
        <v>26.792727272727276</v>
      </c>
      <c r="Y293" s="40">
        <f>VLOOKUP(D293,[1]apoio_Preços_MGS!$A$6:$AN$238,30,FALSE)</f>
        <v>11.958255633255634</v>
      </c>
      <c r="Z293" s="40">
        <f t="shared" si="116"/>
        <v>38.750982905982909</v>
      </c>
      <c r="AA293" s="40">
        <f>VLOOKUP(D293,[1]apoio_Preços_MGS!$A$6:$AN$238,32,FALSE)</f>
        <v>5.2006441953846192</v>
      </c>
      <c r="AB293" s="40">
        <f>VLOOKUP(D293,[1]apoio_Preços_MGS!$A$6:$AN$238,33,FALSE)</f>
        <v>146.4710351981351</v>
      </c>
      <c r="AC293" s="41">
        <f>VLOOKUP(D293,[1]apoio_Preços_MGS!$A$6:$AN$238,34,FALSE)</f>
        <v>0</v>
      </c>
      <c r="AD293" s="40">
        <f>(U293+W293+Z293+AB293+AA293+VLOOKUP(C293,[1]apoio_Prec_Folha!$A:$S,7,FALSE))*AC293</f>
        <v>0</v>
      </c>
      <c r="AE293" s="42">
        <f>VLOOKUP(D293,[1]apoio_Preços_MGS!$A$6:$AN$238,36,FALSE)</f>
        <v>7.0000000000000007E-2</v>
      </c>
      <c r="AF293" s="40">
        <f>(U293+W293+Z293+AB293+AD293+AA293+VLOOKUP(C293,[1]apoio_Prec_Folha!$A:$S,7,FALSE))*AE293</f>
        <v>396.5245536670713</v>
      </c>
      <c r="AG293" s="40">
        <f t="shared" si="117"/>
        <v>5511.3</v>
      </c>
      <c r="AH293" s="43">
        <f t="shared" si="118"/>
        <v>6353.09</v>
      </c>
      <c r="AI293" s="43">
        <f t="shared" si="119"/>
        <v>6353.09</v>
      </c>
      <c r="AJ293" s="43">
        <f t="shared" si="120"/>
        <v>381185.4</v>
      </c>
      <c r="AK293" s="44">
        <f>VLOOKUP(D293,[1]apoio_Preços_MGS!$A$6:$AN$238,39,FALSE)</f>
        <v>181.81818181818184</v>
      </c>
      <c r="AL293" s="44">
        <f>IF(J293="demais municípios",VLOOKUP(D293,[1]apoio_Preços_MGS!$A$6:$AN$238,39,FALSE),0)</f>
        <v>181.81818181818184</v>
      </c>
      <c r="AM293" s="44">
        <v>0</v>
      </c>
      <c r="AN293" s="45">
        <f t="shared" si="139"/>
        <v>181.81818181818184</v>
      </c>
      <c r="AO293" s="44">
        <f>VLOOKUP(D293,[1]apoio_Preços_MGS!$A$6:$AN$238,40,FALSE)</f>
        <v>549.85</v>
      </c>
      <c r="AP293" s="44">
        <f>IF(J293="demais municípios",VLOOKUP(D293,[1]apoio_Preços_MGS!$A$6:$AN$238,40,FALSE),0)</f>
        <v>549.85</v>
      </c>
      <c r="AQ293" s="44">
        <v>0</v>
      </c>
      <c r="AR293" s="45">
        <f t="shared" si="140"/>
        <v>549.85</v>
      </c>
      <c r="AS293" s="45">
        <f t="shared" si="127"/>
        <v>731.66818181818189</v>
      </c>
      <c r="AT293" s="45">
        <f t="shared" si="128"/>
        <v>43900.090909090912</v>
      </c>
      <c r="AU293" s="62"/>
      <c r="AV293" s="46"/>
      <c r="AW293" s="47"/>
      <c r="AX293" s="48"/>
      <c r="AY293" s="49"/>
      <c r="BA293" s="48"/>
    </row>
    <row r="294" spans="1:53" ht="19.5" customHeight="1" x14ac:dyDescent="0.25">
      <c r="A294" s="33" t="str">
        <f t="shared" si="123"/>
        <v>105554400,05</v>
      </c>
      <c r="B294" s="33" t="str">
        <f t="shared" si="124"/>
        <v>11720,05</v>
      </c>
      <c r="C294" s="34" t="str">
        <f>VLOOKUP(D294,[1]apoio_Preços_MGS!$A$6:$B$238,2,FALSE)</f>
        <v>ENCARREGADO</v>
      </c>
      <c r="D294" s="35">
        <v>1172</v>
      </c>
      <c r="E294" s="33" t="str">
        <f>VLOOKUP(D294,[1]apoio_Preços_MGS!$A$6:$F$238,6,FALSE)</f>
        <v>ENCARREGADO - DIARISTA DIURNO</v>
      </c>
      <c r="F294" s="36">
        <f>IFERROR(VLOOKUP(D294,'[1]apoio_cód catmas'!$B$2:$C$863,2,FALSE),0)</f>
        <v>105554</v>
      </c>
      <c r="G294" s="33" t="str">
        <f>IF(H294="N/A",VLOOKUP(F294&amp;40,'[1]apoio_cód catmas'!$A$1:$G$233,4,FALSE),VLOOKUP(F294&amp;H294,'[1]apoio_cód catmas'!$A$1:$G$233,4,FALSE))</f>
        <v>ENCARREGADO  - 30H, 36H, 40H OU 44H</v>
      </c>
      <c r="H294" s="36">
        <v>40</v>
      </c>
      <c r="I294" s="37">
        <v>0.05</v>
      </c>
      <c r="J294" s="38" t="s">
        <v>46</v>
      </c>
      <c r="K294" s="39">
        <v>1</v>
      </c>
      <c r="L294" s="39">
        <f>K294*56</f>
        <v>56</v>
      </c>
      <c r="M294" s="40">
        <f>VLOOKUP(D294,[1]apoio_Preços_MGS!$A$6:$AN$238,18,FALSE)</f>
        <v>2708.6688517628227</v>
      </c>
      <c r="N294" s="40">
        <f>VLOOKUP(D294,[1]apoio_Preços_MGS!$A$6:$AN$238,19,FALSE)</f>
        <v>0</v>
      </c>
      <c r="O294" s="40">
        <f>VLOOKUP(D294,[1]apoio_Preços_MGS!$A$6:$AN$238,20,FALSE)</f>
        <v>0</v>
      </c>
      <c r="P294" s="40">
        <f>VLOOKUP(D294,[1]apoio_Preços_MGS!$A$6:$AN$238,21,FALSE)</f>
        <v>0</v>
      </c>
      <c r="Q294" s="40">
        <f>VLOOKUP(D294,[1]apoio_Preços_MGS!$A$6:$AN$238,22,FALSE)</f>
        <v>0</v>
      </c>
      <c r="R294" s="40">
        <f>VLOOKUP(D294,[1]apoio_Preços_MGS!$A$6:$AN$238,23,FALSE)</f>
        <v>0</v>
      </c>
      <c r="S294" s="40">
        <f>VLOOKUP(D294,[1]apoio_Preços_MGS!$A$6:$AN$238,24,FALSE)</f>
        <v>0</v>
      </c>
      <c r="T294" s="40">
        <f>VLOOKUP(D294,[1]apoio_Preços_MGS!$A$6:$AN$238,25,FALSE)</f>
        <v>0</v>
      </c>
      <c r="U294" s="40">
        <f t="shared" si="107"/>
        <v>2708.6688517628227</v>
      </c>
      <c r="V294" s="41">
        <f>VLOOKUP(D294,[1]apoio_Preços_MGS!$A$6:$AN$238,27,FALSE)</f>
        <v>0.81799999999999995</v>
      </c>
      <c r="W294" s="40">
        <f t="shared" si="108"/>
        <v>2215.6911207419889</v>
      </c>
      <c r="X294" s="40">
        <f>VLOOKUP(D294,[1]apoio_Preços_MGS!$A$6:$AN$238,29,FALSE)</f>
        <v>26.792727272727276</v>
      </c>
      <c r="Y294" s="40">
        <f>VLOOKUP(D294,[1]apoio_Preços_MGS!$A$6:$AN$238,30,FALSE)</f>
        <v>11.958255633255634</v>
      </c>
      <c r="Z294" s="40">
        <f t="shared" si="116"/>
        <v>38.750982905982909</v>
      </c>
      <c r="AA294" s="40">
        <f>VLOOKUP(D294,[1]apoio_Preços_MGS!$A$6:$AN$238,32,FALSE)</f>
        <v>5.2006441953846192</v>
      </c>
      <c r="AB294" s="40">
        <f>VLOOKUP(D294,[1]apoio_Preços_MGS!$A$6:$AN$238,33,FALSE)</f>
        <v>146.4710351981351</v>
      </c>
      <c r="AC294" s="41">
        <f>VLOOKUP(D294,[1]apoio_Preços_MGS!$A$6:$AN$238,34,FALSE)</f>
        <v>0</v>
      </c>
      <c r="AD294" s="40">
        <f>(U294+W294+Z294+AB294+AA294+VLOOKUP(C294,[1]apoio_Prec_Folha!$A:$S,7,FALSE))*AC294</f>
        <v>0</v>
      </c>
      <c r="AE294" s="42">
        <f>VLOOKUP(D294,[1]apoio_Preços_MGS!$A$6:$AN$238,36,FALSE)</f>
        <v>7.0000000000000007E-2</v>
      </c>
      <c r="AF294" s="40">
        <f>(U294+W294+Z294+AB294+AD294+AA294+VLOOKUP(C294,[1]apoio_Prec_Folha!$A:$S,7,FALSE))*AE294</f>
        <v>396.5245536670713</v>
      </c>
      <c r="AG294" s="40">
        <f t="shared" si="117"/>
        <v>5511.3</v>
      </c>
      <c r="AH294" s="43">
        <f t="shared" si="118"/>
        <v>6427.16</v>
      </c>
      <c r="AI294" s="43">
        <f t="shared" si="119"/>
        <v>6427.16</v>
      </c>
      <c r="AJ294" s="43">
        <f t="shared" si="120"/>
        <v>359920.95999999996</v>
      </c>
      <c r="AK294" s="44">
        <f>VLOOKUP(D294,[1]apoio_Preços_MGS!$A$6:$AN$238,39,FALSE)</f>
        <v>181.81818181818184</v>
      </c>
      <c r="AL294" s="44">
        <f>IF(J294="demais municípios",VLOOKUP(D294,[1]apoio_Preços_MGS!$A$6:$AN$238,39,FALSE),0)</f>
        <v>181.81818181818184</v>
      </c>
      <c r="AM294" s="44">
        <v>0</v>
      </c>
      <c r="AN294" s="45">
        <f t="shared" si="139"/>
        <v>181.81818181818184</v>
      </c>
      <c r="AO294" s="44">
        <f>VLOOKUP(D294,[1]apoio_Preços_MGS!$A$6:$AN$238,40,FALSE)</f>
        <v>549.85</v>
      </c>
      <c r="AP294" s="44">
        <f>IF(J294="demais municípios",VLOOKUP(D294,[1]apoio_Preços_MGS!$A$6:$AN$238,40,FALSE),0)</f>
        <v>549.85</v>
      </c>
      <c r="AQ294" s="44">
        <v>0</v>
      </c>
      <c r="AR294" s="45">
        <f t="shared" si="140"/>
        <v>549.85</v>
      </c>
      <c r="AS294" s="45">
        <f t="shared" si="127"/>
        <v>731.66818181818189</v>
      </c>
      <c r="AT294" s="45">
        <f t="shared" si="128"/>
        <v>43900.090909090912</v>
      </c>
      <c r="AU294" s="62"/>
      <c r="AV294" s="46"/>
      <c r="AW294" s="47"/>
      <c r="AX294" s="48"/>
      <c r="AY294" s="49"/>
      <c r="BA294" s="48"/>
    </row>
    <row r="295" spans="1:53" ht="19.5" customHeight="1" x14ac:dyDescent="0.25">
      <c r="A295" s="33" t="str">
        <f t="shared" si="123"/>
        <v>105554400,05</v>
      </c>
      <c r="B295" s="33" t="str">
        <f t="shared" si="124"/>
        <v>11720,05</v>
      </c>
      <c r="C295" s="34" t="str">
        <f>VLOOKUP(D295,[1]apoio_Preços_MGS!$A$6:$B$238,2,FALSE)</f>
        <v>ENCARREGADO</v>
      </c>
      <c r="D295" s="35">
        <v>1172</v>
      </c>
      <c r="E295" s="33" t="str">
        <f>VLOOKUP(D295,[1]apoio_Preços_MGS!$A$6:$F$238,6,FALSE)</f>
        <v>ENCARREGADO - DIARISTA DIURNO</v>
      </c>
      <c r="F295" s="36">
        <f>IFERROR(VLOOKUP(D295,'[1]apoio_cód catmas'!$B$2:$C$863,2,FALSE),0)</f>
        <v>105554</v>
      </c>
      <c r="G295" s="33" t="str">
        <f>IF(H295="N/A",VLOOKUP(F295&amp;40,'[1]apoio_cód catmas'!$A$1:$G$233,4,FALSE),VLOOKUP(F295&amp;H295,'[1]apoio_cód catmas'!$A$1:$G$233,4,FALSE))</f>
        <v>ENCARREGADO  - 30H, 36H, 40H OU 44H</v>
      </c>
      <c r="H295" s="36">
        <v>40</v>
      </c>
      <c r="I295" s="37">
        <v>0.05</v>
      </c>
      <c r="J295" s="38" t="s">
        <v>46</v>
      </c>
      <c r="K295" s="39">
        <f>50-K296</f>
        <v>4</v>
      </c>
      <c r="L295" s="39">
        <f t="shared" si="113"/>
        <v>240</v>
      </c>
      <c r="M295" s="40">
        <f>VLOOKUP(D295,[1]apoio_Preços_MGS!$A$6:$AN$238,18,FALSE)</f>
        <v>2708.6688517628227</v>
      </c>
      <c r="N295" s="40">
        <f>VLOOKUP(D295,[1]apoio_Preços_MGS!$A$6:$AN$238,19,FALSE)</f>
        <v>0</v>
      </c>
      <c r="O295" s="40">
        <f>VLOOKUP(D295,[1]apoio_Preços_MGS!$A$6:$AN$238,20,FALSE)</f>
        <v>0</v>
      </c>
      <c r="P295" s="40">
        <f>VLOOKUP(D295,[1]apoio_Preços_MGS!$A$6:$AN$238,21,FALSE)</f>
        <v>0</v>
      </c>
      <c r="Q295" s="40">
        <f>VLOOKUP(D295,[1]apoio_Preços_MGS!$A$6:$AN$238,22,FALSE)</f>
        <v>0</v>
      </c>
      <c r="R295" s="40">
        <f>VLOOKUP(D295,[1]apoio_Preços_MGS!$A$6:$AN$238,23,FALSE)</f>
        <v>0</v>
      </c>
      <c r="S295" s="40">
        <f>VLOOKUP(D295,[1]apoio_Preços_MGS!$A$6:$AN$238,24,FALSE)</f>
        <v>0</v>
      </c>
      <c r="T295" s="40">
        <f>VLOOKUP(D295,[1]apoio_Preços_MGS!$A$6:$AN$238,25,FALSE)</f>
        <v>0</v>
      </c>
      <c r="U295" s="40">
        <f t="shared" si="107"/>
        <v>2708.6688517628227</v>
      </c>
      <c r="V295" s="41">
        <f>VLOOKUP(D295,[1]apoio_Preços_MGS!$A$6:$AN$238,27,FALSE)</f>
        <v>0.81799999999999995</v>
      </c>
      <c r="W295" s="40">
        <f t="shared" si="108"/>
        <v>2215.6911207419889</v>
      </c>
      <c r="X295" s="40">
        <f>VLOOKUP(D295,[1]apoio_Preços_MGS!$A$6:$AN$238,29,FALSE)</f>
        <v>26.792727272727276</v>
      </c>
      <c r="Y295" s="40">
        <f>VLOOKUP(D295,[1]apoio_Preços_MGS!$A$6:$AN$238,30,FALSE)</f>
        <v>11.958255633255634</v>
      </c>
      <c r="Z295" s="40">
        <f t="shared" si="116"/>
        <v>38.750982905982909</v>
      </c>
      <c r="AA295" s="40">
        <f>VLOOKUP(D295,[1]apoio_Preços_MGS!$A$6:$AN$238,32,FALSE)</f>
        <v>5.2006441953846192</v>
      </c>
      <c r="AB295" s="40">
        <f>VLOOKUP(D295,[1]apoio_Preços_MGS!$A$6:$AN$238,33,FALSE)</f>
        <v>146.4710351981351</v>
      </c>
      <c r="AC295" s="41">
        <f>VLOOKUP(D295,[1]apoio_Preços_MGS!$A$6:$AN$238,34,FALSE)</f>
        <v>0</v>
      </c>
      <c r="AD295" s="40">
        <f>(U295+W295+Z295+AB295+AA295+VLOOKUP(C295,[1]apoio_Prec_Folha!$A:$S,7,FALSE))*AC295</f>
        <v>0</v>
      </c>
      <c r="AE295" s="42">
        <f>VLOOKUP(D295,[1]apoio_Preços_MGS!$A$6:$AN$238,36,FALSE)</f>
        <v>7.0000000000000007E-2</v>
      </c>
      <c r="AF295" s="40">
        <f>(U295+W295+Z295+AB295+AD295+AA295+VLOOKUP(C295,[1]apoio_Prec_Folha!$A:$S,7,FALSE))*AE295</f>
        <v>396.5245536670713</v>
      </c>
      <c r="AG295" s="40">
        <f t="shared" si="117"/>
        <v>5511.3</v>
      </c>
      <c r="AH295" s="43">
        <f t="shared" si="118"/>
        <v>6427.16</v>
      </c>
      <c r="AI295" s="43">
        <f t="shared" si="119"/>
        <v>25708.639999999999</v>
      </c>
      <c r="AJ295" s="43">
        <f t="shared" si="120"/>
        <v>1542518.4</v>
      </c>
      <c r="AK295" s="44">
        <f>VLOOKUP(D295,[1]apoio_Preços_MGS!$A$6:$AN$238,39,FALSE)</f>
        <v>181.81818181818184</v>
      </c>
      <c r="AL295" s="44">
        <f>IF(J295="demais municípios",VLOOKUP(D295,[1]apoio_Preços_MGS!$A$6:$AN$238,39,FALSE),0)</f>
        <v>181.81818181818184</v>
      </c>
      <c r="AM295" s="44">
        <v>0</v>
      </c>
      <c r="AN295" s="45">
        <f t="shared" si="139"/>
        <v>727.27272727272737</v>
      </c>
      <c r="AO295" s="44">
        <f>VLOOKUP(D295,[1]apoio_Preços_MGS!$A$6:$AN$238,40,FALSE)</f>
        <v>549.85</v>
      </c>
      <c r="AP295" s="44">
        <f>IF(J295="demais municípios",VLOOKUP(D295,[1]apoio_Preços_MGS!$A$6:$AN$238,40,FALSE),0)</f>
        <v>549.85</v>
      </c>
      <c r="AQ295" s="44">
        <v>0</v>
      </c>
      <c r="AR295" s="45">
        <f t="shared" si="140"/>
        <v>2199.4</v>
      </c>
      <c r="AS295" s="45">
        <f t="shared" si="127"/>
        <v>2926.6727272727276</v>
      </c>
      <c r="AT295" s="45">
        <f t="shared" si="128"/>
        <v>175600.36363636365</v>
      </c>
      <c r="AU295" s="62"/>
      <c r="AV295" s="46"/>
      <c r="AW295" s="47"/>
      <c r="AX295" s="48"/>
      <c r="AY295" s="49"/>
      <c r="BA295" s="48"/>
    </row>
    <row r="296" spans="1:53" ht="19.5" customHeight="1" x14ac:dyDescent="0.25">
      <c r="A296" s="33" t="str">
        <f t="shared" si="123"/>
        <v>105554400,05</v>
      </c>
      <c r="B296" s="33" t="str">
        <f t="shared" si="124"/>
        <v>11720,05</v>
      </c>
      <c r="C296" s="34" t="str">
        <f>VLOOKUP(D296,[1]apoio_Preços_MGS!$A$6:$B$238,2,FALSE)</f>
        <v>ENCARREGADO</v>
      </c>
      <c r="D296" s="35">
        <v>1172</v>
      </c>
      <c r="E296" s="33" t="str">
        <f>VLOOKUP(D296,[1]apoio_Preços_MGS!$A$6:$F$238,6,FALSE)</f>
        <v>ENCARREGADO - DIARISTA DIURNO</v>
      </c>
      <c r="F296" s="36">
        <f>IFERROR(VLOOKUP(D296,'[1]apoio_cód catmas'!$B$2:$C$863,2,FALSE),0)</f>
        <v>105554</v>
      </c>
      <c r="G296" s="33" t="str">
        <f>IF(H296="N/A",VLOOKUP(F296&amp;40,'[1]apoio_cód catmas'!$A$1:$G$233,4,FALSE),VLOOKUP(F296&amp;H296,'[1]apoio_cód catmas'!$A$1:$G$233,4,FALSE))</f>
        <v>ENCARREGADO  - 30H, 36H, 40H OU 44H</v>
      </c>
      <c r="H296" s="36">
        <v>40</v>
      </c>
      <c r="I296" s="37">
        <v>0.05</v>
      </c>
      <c r="J296" s="38" t="s">
        <v>47</v>
      </c>
      <c r="K296" s="39">
        <v>46</v>
      </c>
      <c r="L296" s="39">
        <f t="shared" si="113"/>
        <v>2760</v>
      </c>
      <c r="M296" s="40">
        <f>VLOOKUP(D296,[1]apoio_Preços_MGS!$A$6:$AN$238,18,FALSE)</f>
        <v>2708.6688517628227</v>
      </c>
      <c r="N296" s="40">
        <f>VLOOKUP(D296,[1]apoio_Preços_MGS!$A$6:$AN$238,19,FALSE)</f>
        <v>0</v>
      </c>
      <c r="O296" s="40">
        <f>VLOOKUP(D296,[1]apoio_Preços_MGS!$A$6:$AN$238,20,FALSE)</f>
        <v>0</v>
      </c>
      <c r="P296" s="40">
        <f>VLOOKUP(D296,[1]apoio_Preços_MGS!$A$6:$AN$238,21,FALSE)</f>
        <v>0</v>
      </c>
      <c r="Q296" s="40">
        <f>VLOOKUP(D296,[1]apoio_Preços_MGS!$A$6:$AN$238,22,FALSE)</f>
        <v>0</v>
      </c>
      <c r="R296" s="40">
        <f>VLOOKUP(D296,[1]apoio_Preços_MGS!$A$6:$AN$238,23,FALSE)</f>
        <v>0</v>
      </c>
      <c r="S296" s="40">
        <f>VLOOKUP(D296,[1]apoio_Preços_MGS!$A$6:$AN$238,24,FALSE)</f>
        <v>0</v>
      </c>
      <c r="T296" s="40">
        <f>VLOOKUP(D296,[1]apoio_Preços_MGS!$A$6:$AN$238,25,FALSE)</f>
        <v>0</v>
      </c>
      <c r="U296" s="40">
        <f t="shared" si="107"/>
        <v>2708.6688517628227</v>
      </c>
      <c r="V296" s="41">
        <f>VLOOKUP(D296,[1]apoio_Preços_MGS!$A$6:$AN$238,27,FALSE)</f>
        <v>0.81799999999999995</v>
      </c>
      <c r="W296" s="40">
        <f t="shared" si="108"/>
        <v>2215.6911207419889</v>
      </c>
      <c r="X296" s="40">
        <f>VLOOKUP(D296,[1]apoio_Preços_MGS!$A$6:$AN$238,29,FALSE)</f>
        <v>26.792727272727276</v>
      </c>
      <c r="Y296" s="40">
        <f>VLOOKUP(D296,[1]apoio_Preços_MGS!$A$6:$AN$238,30,FALSE)</f>
        <v>11.958255633255634</v>
      </c>
      <c r="Z296" s="40">
        <f t="shared" si="116"/>
        <v>38.750982905982909</v>
      </c>
      <c r="AA296" s="40">
        <f>VLOOKUP(D296,[1]apoio_Preços_MGS!$A$6:$AN$238,32,FALSE)</f>
        <v>5.2006441953846192</v>
      </c>
      <c r="AB296" s="40">
        <f>VLOOKUP(D296,[1]apoio_Preços_MGS!$A$6:$AN$238,33,FALSE)</f>
        <v>146.4710351981351</v>
      </c>
      <c r="AC296" s="41">
        <f>VLOOKUP(D296,[1]apoio_Preços_MGS!$A$6:$AN$238,34,FALSE)</f>
        <v>0</v>
      </c>
      <c r="AD296" s="40">
        <f>(U296+W296+Z296+AB296+AA296+VLOOKUP(C296,[1]apoio_Prec_Folha!$A:$S,7,FALSE))*AC296</f>
        <v>0</v>
      </c>
      <c r="AE296" s="42">
        <f>VLOOKUP(D296,[1]apoio_Preços_MGS!$A$6:$AN$238,36,FALSE)</f>
        <v>7.0000000000000007E-2</v>
      </c>
      <c r="AF296" s="40">
        <f>(U296+W296+Z296+AB296+AD296+AA296+VLOOKUP(C296,[1]apoio_Prec_Folha!$A:$S,7,FALSE))*AE296</f>
        <v>396.5245536670713</v>
      </c>
      <c r="AG296" s="40">
        <f t="shared" si="117"/>
        <v>5511.3</v>
      </c>
      <c r="AH296" s="43">
        <f t="shared" si="118"/>
        <v>6427.16</v>
      </c>
      <c r="AI296" s="43">
        <f t="shared" si="119"/>
        <v>295649.36</v>
      </c>
      <c r="AJ296" s="43">
        <f t="shared" si="120"/>
        <v>17738961.599999998</v>
      </c>
      <c r="AK296" s="44">
        <f>VLOOKUP(D296,[1]apoio_Preços_MGS!$A$6:$AN$238,39,FALSE)</f>
        <v>181.81818181818184</v>
      </c>
      <c r="AL296" s="44">
        <f>IF(J296="demais municípios",VLOOKUP(D296,[1]apoio_Preços_MGS!$A$6:$AN$238,39,FALSE),0)</f>
        <v>0</v>
      </c>
      <c r="AM296" s="44">
        <f>TRUNC(ROUND(($I296)/(1-($I296)),5)*VLOOKUP(D296,[1]apoio_Preços_MGS!$A$6:$AN$238,39,FALSE)+VLOOKUP(D296,[1]apoio_Preços_MGS!$A$6:$AN$238,39,FALSE),2)</f>
        <v>191.38</v>
      </c>
      <c r="AN296" s="45">
        <f t="shared" si="129"/>
        <v>8803.48</v>
      </c>
      <c r="AO296" s="44">
        <f>VLOOKUP(D296,[1]apoio_Preços_MGS!$A$6:$AN$238,40,FALSE)</f>
        <v>549.85</v>
      </c>
      <c r="AP296" s="44">
        <f>IF(J296="demais municípios",VLOOKUP(D296,[1]apoio_Preços_MGS!$A$6:$AN$238,40,FALSE),0)</f>
        <v>0</v>
      </c>
      <c r="AQ296" s="44">
        <f>TRUNC(ROUND(($I296)/(1-($I296)),5)*VLOOKUP(D296,[1]apoio_Preços_MGS!$A$6:$AN$238,40,FALSE)+VLOOKUP(D296,[1]apoio_Preços_MGS!$A$6:$AN$238,40,FALSE),2)</f>
        <v>578.78</v>
      </c>
      <c r="AR296" s="45">
        <f t="shared" si="130"/>
        <v>26623.879999999997</v>
      </c>
      <c r="AS296" s="45">
        <f t="shared" si="127"/>
        <v>35427.360000000001</v>
      </c>
      <c r="AT296" s="45">
        <f t="shared" si="128"/>
        <v>2125641.6</v>
      </c>
      <c r="AU296" s="62"/>
      <c r="AV296" s="46"/>
      <c r="AW296" s="47"/>
      <c r="AX296" s="48"/>
      <c r="AY296" s="49"/>
      <c r="BA296" s="48"/>
    </row>
    <row r="297" spans="1:53" ht="19.5" customHeight="1" x14ac:dyDescent="0.25">
      <c r="A297" s="33" t="str">
        <f t="shared" si="123"/>
        <v>105562440,03</v>
      </c>
      <c r="B297" s="33" t="str">
        <f t="shared" si="124"/>
        <v>11700,03</v>
      </c>
      <c r="C297" s="34" t="str">
        <f>VLOOKUP(D297,[1]apoio_Preços_MGS!$A$6:$B$238,2,FALSE)</f>
        <v>ENCARREGADO</v>
      </c>
      <c r="D297" s="35">
        <v>1170</v>
      </c>
      <c r="E297" s="33" t="str">
        <f>VLOOKUP(D297,[1]apoio_Preços_MGS!$A$6:$F$238,6,FALSE)</f>
        <v>ENCARREGADO - 12x36 DIURNO</v>
      </c>
      <c r="F297" s="36">
        <f>IFERROR(VLOOKUP(D297,'[1]apoio_cód catmas'!$B$2:$C$863,2,FALSE),0)</f>
        <v>105562</v>
      </c>
      <c r="G297" s="33" t="str">
        <f>IF(H297="N/A",VLOOKUP(F297&amp;40,'[1]apoio_cód catmas'!$A$1:$G$233,4,FALSE),VLOOKUP(F297&amp;H297,'[1]apoio_cód catmas'!$A$1:$G$233,4,FALSE))</f>
        <v>ENCARREGADO - 12x36 DIURNO - 44H</v>
      </c>
      <c r="H297" s="36">
        <v>44</v>
      </c>
      <c r="I297" s="37">
        <v>0.03</v>
      </c>
      <c r="J297" s="38" t="s">
        <v>46</v>
      </c>
      <c r="K297" s="39">
        <v>6</v>
      </c>
      <c r="L297" s="39">
        <f t="shared" si="113"/>
        <v>360</v>
      </c>
      <c r="M297" s="40">
        <f>VLOOKUP(D297,[1]apoio_Preços_MGS!$A$6:$AN$238,18,FALSE)</f>
        <v>2708.6688517628227</v>
      </c>
      <c r="N297" s="40">
        <f>VLOOKUP(D297,[1]apoio_Preços_MGS!$A$6:$AN$238,19,FALSE)</f>
        <v>0</v>
      </c>
      <c r="O297" s="40">
        <f>VLOOKUP(D297,[1]apoio_Preços_MGS!$A$6:$AN$238,20,FALSE)</f>
        <v>0</v>
      </c>
      <c r="P297" s="40">
        <f>VLOOKUP(D297,[1]apoio_Preços_MGS!$A$6:$AN$238,21,FALSE)</f>
        <v>0</v>
      </c>
      <c r="Q297" s="40">
        <f>VLOOKUP(D297,[1]apoio_Preços_MGS!$A$6:$AN$238,22,FALSE)</f>
        <v>0</v>
      </c>
      <c r="R297" s="40">
        <f>VLOOKUP(D297,[1]apoio_Preços_MGS!$A$6:$AN$238,23,FALSE)</f>
        <v>0</v>
      </c>
      <c r="S297" s="40">
        <f>VLOOKUP(D297,[1]apoio_Preços_MGS!$A$6:$AN$238,24,FALSE)</f>
        <v>0</v>
      </c>
      <c r="T297" s="40">
        <f>VLOOKUP(D297,[1]apoio_Preços_MGS!$A$6:$AN$238,25,FALSE)</f>
        <v>3.7620400718928093</v>
      </c>
      <c r="U297" s="40">
        <f t="shared" si="107"/>
        <v>2712.4308918347156</v>
      </c>
      <c r="V297" s="41">
        <f>VLOOKUP(D297,[1]apoio_Preços_MGS!$A$6:$AN$238,27,FALSE)</f>
        <v>0.81799999999999995</v>
      </c>
      <c r="W297" s="40">
        <f t="shared" si="108"/>
        <v>2218.7684695207972</v>
      </c>
      <c r="X297" s="40">
        <f>VLOOKUP(D297,[1]apoio_Preços_MGS!$A$6:$AN$238,29,FALSE)</f>
        <v>26.792727272727276</v>
      </c>
      <c r="Y297" s="40">
        <f>VLOOKUP(D297,[1]apoio_Preços_MGS!$A$6:$AN$238,30,FALSE)</f>
        <v>11.958255633255634</v>
      </c>
      <c r="Z297" s="40">
        <f t="shared" si="116"/>
        <v>38.750982905982909</v>
      </c>
      <c r="AA297" s="40">
        <f>VLOOKUP(D297,[1]apoio_Preços_MGS!$A$6:$AN$238,32,FALSE)</f>
        <v>5.2006441953846192</v>
      </c>
      <c r="AB297" s="40">
        <f>VLOOKUP(D297,[1]apoio_Preços_MGS!$A$6:$AN$238,33,FALSE)</f>
        <v>146.4710351981351</v>
      </c>
      <c r="AC297" s="41">
        <f>VLOOKUP(D297,[1]apoio_Preços_MGS!$A$6:$AN$238,34,FALSE)</f>
        <v>0</v>
      </c>
      <c r="AD297" s="40">
        <f>(U297+W297+Z297+AB297+AA297+VLOOKUP(C297,[1]apoio_Prec_Folha!$A:$S,7,FALSE))*AC297</f>
        <v>0</v>
      </c>
      <c r="AE297" s="42">
        <f>VLOOKUP(D297,[1]apoio_Preços_MGS!$A$6:$AN$238,36,FALSE)</f>
        <v>7.0000000000000007E-2</v>
      </c>
      <c r="AF297" s="40">
        <f>(U297+W297+Z297+AB297+AD297+AA297+VLOOKUP(C297,[1]apoio_Prec_Folha!$A:$S,7,FALSE))*AE297</f>
        <v>397.0033108866204</v>
      </c>
      <c r="AG297" s="40">
        <f t="shared" si="117"/>
        <v>5518.62</v>
      </c>
      <c r="AH297" s="43">
        <f t="shared" si="118"/>
        <v>6289.01</v>
      </c>
      <c r="AI297" s="43">
        <f t="shared" si="119"/>
        <v>37734.06</v>
      </c>
      <c r="AJ297" s="43">
        <f t="shared" si="120"/>
        <v>2264043.6</v>
      </c>
      <c r="AK297" s="44">
        <f>VLOOKUP(D297,[1]apoio_Preços_MGS!$A$6:$AN$238,39,FALSE)</f>
        <v>200.00000000000003</v>
      </c>
      <c r="AL297" s="44">
        <f>IF(J297="demais municípios",VLOOKUP(D297,[1]apoio_Preços_MGS!$A$6:$AN$238,39,FALSE),0)</f>
        <v>200.00000000000003</v>
      </c>
      <c r="AM297" s="44">
        <v>0</v>
      </c>
      <c r="AN297" s="45">
        <f t="shared" ref="AN297:AN298" si="141">AK297*K297</f>
        <v>1200.0000000000002</v>
      </c>
      <c r="AO297" s="44">
        <f>VLOOKUP(D297,[1]apoio_Preços_MGS!$A$6:$AN$238,40,FALSE)</f>
        <v>549.85</v>
      </c>
      <c r="AP297" s="44">
        <f>IF(J297="demais municípios",VLOOKUP(D297,[1]apoio_Preços_MGS!$A$6:$AN$238,40,FALSE),0)</f>
        <v>549.85</v>
      </c>
      <c r="AQ297" s="44">
        <v>0</v>
      </c>
      <c r="AR297" s="45">
        <f t="shared" ref="AR297:AR298" si="142">AO297*K297</f>
        <v>3299.1000000000004</v>
      </c>
      <c r="AS297" s="45">
        <f t="shared" si="127"/>
        <v>4499.1000000000004</v>
      </c>
      <c r="AT297" s="45">
        <f t="shared" si="128"/>
        <v>269946</v>
      </c>
      <c r="AU297" s="62"/>
      <c r="AV297" s="46"/>
      <c r="AW297" s="47"/>
      <c r="AX297" s="48"/>
      <c r="AY297" s="49"/>
      <c r="BA297" s="48"/>
    </row>
    <row r="298" spans="1:53" ht="19.5" customHeight="1" x14ac:dyDescent="0.25">
      <c r="A298" s="33" t="str">
        <f t="shared" si="123"/>
        <v>105562440,035</v>
      </c>
      <c r="B298" s="33" t="str">
        <f t="shared" si="124"/>
        <v>11700,035</v>
      </c>
      <c r="C298" s="34" t="str">
        <f>VLOOKUP(D298,[1]apoio_Preços_MGS!$A$6:$B$238,2,FALSE)</f>
        <v>ENCARREGADO</v>
      </c>
      <c r="D298" s="35">
        <v>1170</v>
      </c>
      <c r="E298" s="33" t="str">
        <f>VLOOKUP(D298,[1]apoio_Preços_MGS!$A$6:$F$238,6,FALSE)</f>
        <v>ENCARREGADO - 12x36 DIURNO</v>
      </c>
      <c r="F298" s="36">
        <f>IFERROR(VLOOKUP(D298,'[1]apoio_cód catmas'!$B$2:$C$863,2,FALSE),0)</f>
        <v>105562</v>
      </c>
      <c r="G298" s="33" t="str">
        <f>IF(H298="N/A",VLOOKUP(F298&amp;40,'[1]apoio_cód catmas'!$A$1:$G$233,4,FALSE),VLOOKUP(F298&amp;H298,'[1]apoio_cód catmas'!$A$1:$G$233,4,FALSE))</f>
        <v>ENCARREGADO - 12x36 DIURNO - 44H</v>
      </c>
      <c r="H298" s="36">
        <v>44</v>
      </c>
      <c r="I298" s="37">
        <v>3.5000000000000003E-2</v>
      </c>
      <c r="J298" s="38" t="s">
        <v>46</v>
      </c>
      <c r="K298" s="39">
        <v>2</v>
      </c>
      <c r="L298" s="39">
        <f t="shared" si="113"/>
        <v>120</v>
      </c>
      <c r="M298" s="40">
        <f>VLOOKUP(D298,[1]apoio_Preços_MGS!$A$6:$AN$238,18,FALSE)</f>
        <v>2708.6688517628227</v>
      </c>
      <c r="N298" s="40">
        <f>VLOOKUP(D298,[1]apoio_Preços_MGS!$A$6:$AN$238,19,FALSE)</f>
        <v>0</v>
      </c>
      <c r="O298" s="40">
        <f>VLOOKUP(D298,[1]apoio_Preços_MGS!$A$6:$AN$238,20,FALSE)</f>
        <v>0</v>
      </c>
      <c r="P298" s="40">
        <f>VLOOKUP(D298,[1]apoio_Preços_MGS!$A$6:$AN$238,21,FALSE)</f>
        <v>0</v>
      </c>
      <c r="Q298" s="40">
        <f>VLOOKUP(D298,[1]apoio_Preços_MGS!$A$6:$AN$238,22,FALSE)</f>
        <v>0</v>
      </c>
      <c r="R298" s="40">
        <f>VLOOKUP(D298,[1]apoio_Preços_MGS!$A$6:$AN$238,23,FALSE)</f>
        <v>0</v>
      </c>
      <c r="S298" s="40">
        <f>VLOOKUP(D298,[1]apoio_Preços_MGS!$A$6:$AN$238,24,FALSE)</f>
        <v>0</v>
      </c>
      <c r="T298" s="40">
        <f>VLOOKUP(D298,[1]apoio_Preços_MGS!$A$6:$AN$238,25,FALSE)</f>
        <v>3.7620400718928093</v>
      </c>
      <c r="U298" s="40">
        <f t="shared" si="107"/>
        <v>2712.4308918347156</v>
      </c>
      <c r="V298" s="41">
        <f>VLOOKUP(D298,[1]apoio_Preços_MGS!$A$6:$AN$238,27,FALSE)</f>
        <v>0.81799999999999995</v>
      </c>
      <c r="W298" s="40">
        <f t="shared" si="108"/>
        <v>2218.7684695207972</v>
      </c>
      <c r="X298" s="40">
        <f>VLOOKUP(D298,[1]apoio_Preços_MGS!$A$6:$AN$238,29,FALSE)</f>
        <v>26.792727272727276</v>
      </c>
      <c r="Y298" s="40">
        <f>VLOOKUP(D298,[1]apoio_Preços_MGS!$A$6:$AN$238,30,FALSE)</f>
        <v>11.958255633255634</v>
      </c>
      <c r="Z298" s="40">
        <f t="shared" si="116"/>
        <v>38.750982905982909</v>
      </c>
      <c r="AA298" s="40">
        <f>VLOOKUP(D298,[1]apoio_Preços_MGS!$A$6:$AN$238,32,FALSE)</f>
        <v>5.2006441953846192</v>
      </c>
      <c r="AB298" s="40">
        <f>VLOOKUP(D298,[1]apoio_Preços_MGS!$A$6:$AN$238,33,FALSE)</f>
        <v>146.4710351981351</v>
      </c>
      <c r="AC298" s="41">
        <f>VLOOKUP(D298,[1]apoio_Preços_MGS!$A$6:$AN$238,34,FALSE)</f>
        <v>0</v>
      </c>
      <c r="AD298" s="40">
        <f>(U298+W298+Z298+AB298+AA298+VLOOKUP(C298,[1]apoio_Prec_Folha!$A:$S,7,FALSE))*AC298</f>
        <v>0</v>
      </c>
      <c r="AE298" s="42">
        <f>VLOOKUP(D298,[1]apoio_Preços_MGS!$A$6:$AN$238,36,FALSE)</f>
        <v>7.0000000000000007E-2</v>
      </c>
      <c r="AF298" s="40">
        <f>(U298+W298+Z298+AB298+AD298+AA298+VLOOKUP(C298,[1]apoio_Prec_Folha!$A:$S,7,FALSE))*AE298</f>
        <v>397.0033108866204</v>
      </c>
      <c r="AG298" s="40">
        <f t="shared" si="117"/>
        <v>5518.62</v>
      </c>
      <c r="AH298" s="43">
        <f t="shared" si="118"/>
        <v>6325.05</v>
      </c>
      <c r="AI298" s="43">
        <f t="shared" si="119"/>
        <v>12650.1</v>
      </c>
      <c r="AJ298" s="43">
        <f t="shared" si="120"/>
        <v>759006</v>
      </c>
      <c r="AK298" s="44">
        <f>VLOOKUP(D298,[1]apoio_Preços_MGS!$A$6:$AN$238,39,FALSE)</f>
        <v>200.00000000000003</v>
      </c>
      <c r="AL298" s="44">
        <f>IF(J298="demais municípios",VLOOKUP(D298,[1]apoio_Preços_MGS!$A$6:$AN$238,39,FALSE),0)</f>
        <v>200.00000000000003</v>
      </c>
      <c r="AM298" s="44">
        <v>0</v>
      </c>
      <c r="AN298" s="45">
        <f t="shared" si="141"/>
        <v>400.00000000000006</v>
      </c>
      <c r="AO298" s="44">
        <f>VLOOKUP(D298,[1]apoio_Preços_MGS!$A$6:$AN$238,40,FALSE)</f>
        <v>549.85</v>
      </c>
      <c r="AP298" s="44">
        <f>IF(J298="demais municípios",VLOOKUP(D298,[1]apoio_Preços_MGS!$A$6:$AN$238,40,FALSE),0)</f>
        <v>549.85</v>
      </c>
      <c r="AQ298" s="44">
        <v>0</v>
      </c>
      <c r="AR298" s="45">
        <f t="shared" si="142"/>
        <v>1099.7</v>
      </c>
      <c r="AS298" s="45">
        <f t="shared" si="127"/>
        <v>1499.7</v>
      </c>
      <c r="AT298" s="45">
        <f t="shared" si="128"/>
        <v>89982</v>
      </c>
      <c r="AU298" s="62"/>
      <c r="AV298" s="46"/>
      <c r="AW298" s="47"/>
      <c r="AX298" s="48"/>
      <c r="AY298" s="49"/>
      <c r="BA298" s="48"/>
    </row>
    <row r="299" spans="1:53" ht="19.5" customHeight="1" x14ac:dyDescent="0.25">
      <c r="A299" s="33" t="str">
        <f t="shared" si="123"/>
        <v>105562440,05</v>
      </c>
      <c r="B299" s="33" t="str">
        <f t="shared" si="124"/>
        <v>11700,05</v>
      </c>
      <c r="C299" s="34" t="str">
        <f>VLOOKUP(D299,[1]apoio_Preços_MGS!$A$6:$B$238,2,FALSE)</f>
        <v>ENCARREGADO</v>
      </c>
      <c r="D299" s="35">
        <v>1170</v>
      </c>
      <c r="E299" s="33" t="str">
        <f>VLOOKUP(D299,[1]apoio_Preços_MGS!$A$6:$F$238,6,FALSE)</f>
        <v>ENCARREGADO - 12x36 DIURNO</v>
      </c>
      <c r="F299" s="36">
        <f>IFERROR(VLOOKUP(D299,'[1]apoio_cód catmas'!$B$2:$C$863,2,FALSE),0)</f>
        <v>105562</v>
      </c>
      <c r="G299" s="33" t="str">
        <f>IF(H299="N/A",VLOOKUP(F299&amp;40,'[1]apoio_cód catmas'!$A$1:$G$233,4,FALSE),VLOOKUP(F299&amp;H299,'[1]apoio_cód catmas'!$A$1:$G$233,4,FALSE))</f>
        <v>ENCARREGADO - 12x36 DIURNO - 44H</v>
      </c>
      <c r="H299" s="36">
        <v>44</v>
      </c>
      <c r="I299" s="37">
        <v>0.05</v>
      </c>
      <c r="J299" s="38" t="s">
        <v>47</v>
      </c>
      <c r="K299" s="39">
        <v>31</v>
      </c>
      <c r="L299" s="39">
        <f t="shared" si="113"/>
        <v>1860</v>
      </c>
      <c r="M299" s="40">
        <f>VLOOKUP(D299,[1]apoio_Preços_MGS!$A$6:$AN$238,18,FALSE)</f>
        <v>2708.6688517628227</v>
      </c>
      <c r="N299" s="40">
        <f>VLOOKUP(D299,[1]apoio_Preços_MGS!$A$6:$AN$238,19,FALSE)</f>
        <v>0</v>
      </c>
      <c r="O299" s="40">
        <f>VLOOKUP(D299,[1]apoio_Preços_MGS!$A$6:$AN$238,20,FALSE)</f>
        <v>0</v>
      </c>
      <c r="P299" s="40">
        <f>VLOOKUP(D299,[1]apoio_Preços_MGS!$A$6:$AN$238,21,FALSE)</f>
        <v>0</v>
      </c>
      <c r="Q299" s="40">
        <f>VLOOKUP(D299,[1]apoio_Preços_MGS!$A$6:$AN$238,22,FALSE)</f>
        <v>0</v>
      </c>
      <c r="R299" s="40">
        <f>VLOOKUP(D299,[1]apoio_Preços_MGS!$A$6:$AN$238,23,FALSE)</f>
        <v>0</v>
      </c>
      <c r="S299" s="40">
        <f>VLOOKUP(D299,[1]apoio_Preços_MGS!$A$6:$AN$238,24,FALSE)</f>
        <v>0</v>
      </c>
      <c r="T299" s="40">
        <f>VLOOKUP(D299,[1]apoio_Preços_MGS!$A$6:$AN$238,25,FALSE)</f>
        <v>3.7620400718928093</v>
      </c>
      <c r="U299" s="40">
        <f t="shared" si="107"/>
        <v>2712.4308918347156</v>
      </c>
      <c r="V299" s="41">
        <f>VLOOKUP(D299,[1]apoio_Preços_MGS!$A$6:$AN$238,27,FALSE)</f>
        <v>0.81799999999999995</v>
      </c>
      <c r="W299" s="40">
        <f t="shared" si="108"/>
        <v>2218.7684695207972</v>
      </c>
      <c r="X299" s="40">
        <f>VLOOKUP(D299,[1]apoio_Preços_MGS!$A$6:$AN$238,29,FALSE)</f>
        <v>26.792727272727276</v>
      </c>
      <c r="Y299" s="40">
        <f>VLOOKUP(D299,[1]apoio_Preços_MGS!$A$6:$AN$238,30,FALSE)</f>
        <v>11.958255633255634</v>
      </c>
      <c r="Z299" s="40">
        <f t="shared" si="116"/>
        <v>38.750982905982909</v>
      </c>
      <c r="AA299" s="40">
        <f>VLOOKUP(D299,[1]apoio_Preços_MGS!$A$6:$AN$238,32,FALSE)</f>
        <v>5.2006441953846192</v>
      </c>
      <c r="AB299" s="40">
        <f>VLOOKUP(D299,[1]apoio_Preços_MGS!$A$6:$AN$238,33,FALSE)</f>
        <v>146.4710351981351</v>
      </c>
      <c r="AC299" s="41">
        <f>VLOOKUP(D299,[1]apoio_Preços_MGS!$A$6:$AN$238,34,FALSE)</f>
        <v>0</v>
      </c>
      <c r="AD299" s="40">
        <f>(U299+W299+Z299+AB299+AA299+VLOOKUP(C299,[1]apoio_Prec_Folha!$A:$S,7,FALSE))*AC299</f>
        <v>0</v>
      </c>
      <c r="AE299" s="42">
        <f>VLOOKUP(D299,[1]apoio_Preços_MGS!$A$6:$AN$238,36,FALSE)</f>
        <v>7.0000000000000007E-2</v>
      </c>
      <c r="AF299" s="40">
        <f>(U299+W299+Z299+AB299+AD299+AA299+VLOOKUP(C299,[1]apoio_Prec_Folha!$A:$S,7,FALSE))*AE299</f>
        <v>397.0033108866204</v>
      </c>
      <c r="AG299" s="40">
        <f t="shared" si="117"/>
        <v>5518.62</v>
      </c>
      <c r="AH299" s="43">
        <f t="shared" si="118"/>
        <v>6435.7</v>
      </c>
      <c r="AI299" s="43">
        <f t="shared" si="119"/>
        <v>199506.69999999998</v>
      </c>
      <c r="AJ299" s="43">
        <f t="shared" si="120"/>
        <v>11970402</v>
      </c>
      <c r="AK299" s="44">
        <f>VLOOKUP(D299,[1]apoio_Preços_MGS!$A$6:$AN$238,39,FALSE)</f>
        <v>200.00000000000003</v>
      </c>
      <c r="AL299" s="44">
        <f>IF(J299="demais municípios",VLOOKUP(D299,[1]apoio_Preços_MGS!$A$6:$AN$238,39,FALSE),0)</f>
        <v>0</v>
      </c>
      <c r="AM299" s="44">
        <f>TRUNC(ROUND(($I299)/(1-($I299)),5)*VLOOKUP(D299,[1]apoio_Preços_MGS!$A$6:$AN$238,39,FALSE)+VLOOKUP(D299,[1]apoio_Preços_MGS!$A$6:$AN$238,39,FALSE),2)</f>
        <v>210.52</v>
      </c>
      <c r="AN299" s="45">
        <f t="shared" si="129"/>
        <v>6526.12</v>
      </c>
      <c r="AO299" s="44">
        <f>VLOOKUP(D299,[1]apoio_Preços_MGS!$A$6:$AN$238,40,FALSE)</f>
        <v>549.85</v>
      </c>
      <c r="AP299" s="44">
        <f>IF(J299="demais municípios",VLOOKUP(D299,[1]apoio_Preços_MGS!$A$6:$AN$238,40,FALSE),0)</f>
        <v>0</v>
      </c>
      <c r="AQ299" s="44">
        <f>TRUNC(ROUND(($I299)/(1-($I299)),5)*VLOOKUP(D299,[1]apoio_Preços_MGS!$A$6:$AN$238,40,FALSE)+VLOOKUP(D299,[1]apoio_Preços_MGS!$A$6:$AN$238,40,FALSE),2)</f>
        <v>578.78</v>
      </c>
      <c r="AR299" s="45">
        <f t="shared" si="130"/>
        <v>17942.18</v>
      </c>
      <c r="AS299" s="45">
        <f t="shared" si="127"/>
        <v>24468.3</v>
      </c>
      <c r="AT299" s="45">
        <f t="shared" si="128"/>
        <v>1468098</v>
      </c>
      <c r="AU299" s="62"/>
      <c r="AV299" s="46"/>
      <c r="AW299" s="47"/>
      <c r="AX299" s="48"/>
      <c r="AY299" s="49"/>
      <c r="BA299" s="48"/>
    </row>
    <row r="300" spans="1:53" ht="19.5" customHeight="1" x14ac:dyDescent="0.25">
      <c r="A300" s="33" t="str">
        <f t="shared" si="123"/>
        <v>105570440,03</v>
      </c>
      <c r="B300" s="33" t="str">
        <f t="shared" si="124"/>
        <v>11710,03</v>
      </c>
      <c r="C300" s="34" t="str">
        <f>VLOOKUP(D300,[1]apoio_Preços_MGS!$A$6:$B$238,2,FALSE)</f>
        <v>ENCARREGADO</v>
      </c>
      <c r="D300" s="35">
        <v>1171</v>
      </c>
      <c r="E300" s="33" t="str">
        <f>VLOOKUP(D300,[1]apoio_Preços_MGS!$A$6:$F$238,6,FALSE)</f>
        <v>ENCARREGADO - 12x36 NOTURNO</v>
      </c>
      <c r="F300" s="36">
        <f>IFERROR(VLOOKUP(D300,'[1]apoio_cód catmas'!$B$2:$C$863,2,FALSE),0)</f>
        <v>105570</v>
      </c>
      <c r="G300" s="33" t="str">
        <f>IF(H300="N/A",VLOOKUP(F300&amp;40,'[1]apoio_cód catmas'!$A$1:$G$233,4,FALSE),VLOOKUP(F300&amp;H300,'[1]apoio_cód catmas'!$A$1:$G$233,4,FALSE))</f>
        <v>ENCARREGADO - 12X36 NOTURNO - 44H</v>
      </c>
      <c r="H300" s="36">
        <v>44</v>
      </c>
      <c r="I300" s="37">
        <v>0.03</v>
      </c>
      <c r="J300" s="38" t="s">
        <v>46</v>
      </c>
      <c r="K300" s="39">
        <v>4</v>
      </c>
      <c r="L300" s="39">
        <f t="shared" si="113"/>
        <v>240</v>
      </c>
      <c r="M300" s="40">
        <f>VLOOKUP(D300,[1]apoio_Preços_MGS!$A$6:$AN$238,18,FALSE)</f>
        <v>2708.6688517628227</v>
      </c>
      <c r="N300" s="40">
        <f>VLOOKUP(D300,[1]apoio_Preços_MGS!$A$6:$AN$238,19,FALSE)</f>
        <v>0</v>
      </c>
      <c r="O300" s="40">
        <f>VLOOKUP(D300,[1]apoio_Preços_MGS!$A$6:$AN$238,20,FALSE)</f>
        <v>631.01002782756893</v>
      </c>
      <c r="P300" s="40">
        <f>VLOOKUP(D300,[1]apoio_Preços_MGS!$A$6:$AN$238,21,FALSE)</f>
        <v>13.773980130468713</v>
      </c>
      <c r="Q300" s="40">
        <f>VLOOKUP(D300,[1]apoio_Preços_MGS!$A$6:$AN$238,22,FALSE)</f>
        <v>51.652409993530014</v>
      </c>
      <c r="R300" s="40">
        <f>VLOOKUP(D300,[1]apoio_Preços_MGS!$A$6:$AN$238,23,FALSE)</f>
        <v>0</v>
      </c>
      <c r="S300" s="40">
        <f>VLOOKUP(D300,[1]apoio_Preços_MGS!$A$6:$AN$238,24,FALSE)</f>
        <v>0</v>
      </c>
      <c r="T300" s="40">
        <f>VLOOKUP(D300,[1]apoio_Preços_MGS!$A$6:$AN$238,25,FALSE)</f>
        <v>3.7620400718928093</v>
      </c>
      <c r="U300" s="40">
        <f t="shared" si="107"/>
        <v>3408.8673097862834</v>
      </c>
      <c r="V300" s="41">
        <f>VLOOKUP(D300,[1]apoio_Preços_MGS!$A$6:$AN$238,27,FALSE)</f>
        <v>0.81799999999999995</v>
      </c>
      <c r="W300" s="40">
        <f t="shared" si="108"/>
        <v>2788.4534594051797</v>
      </c>
      <c r="X300" s="40">
        <f>VLOOKUP(D300,[1]apoio_Preços_MGS!$A$6:$AN$238,29,FALSE)</f>
        <v>26.792727272727276</v>
      </c>
      <c r="Y300" s="40">
        <f>VLOOKUP(D300,[1]apoio_Preços_MGS!$A$6:$AN$238,30,FALSE)</f>
        <v>11.958255633255634</v>
      </c>
      <c r="Z300" s="40">
        <f t="shared" si="116"/>
        <v>38.750982905982909</v>
      </c>
      <c r="AA300" s="40">
        <f>VLOOKUP(D300,[1]apoio_Preços_MGS!$A$6:$AN$238,32,FALSE)</f>
        <v>5.2006441953846192</v>
      </c>
      <c r="AB300" s="40">
        <f>VLOOKUP(D300,[1]apoio_Preços_MGS!$A$6:$AN$238,33,FALSE)</f>
        <v>146.4710351981351</v>
      </c>
      <c r="AC300" s="41">
        <f>VLOOKUP(D300,[1]apoio_Preços_MGS!$A$6:$AN$238,34,FALSE)</f>
        <v>0</v>
      </c>
      <c r="AD300" s="40">
        <f>(U300+W300+Z300+AB300+AA300+VLOOKUP(C300,[1]apoio_Prec_Folha!$A:$S,7,FALSE))*AC300</f>
        <v>0</v>
      </c>
      <c r="AE300" s="42">
        <f>VLOOKUP(D300,[1]apoio_Preços_MGS!$A$6:$AN$238,36,FALSE)</f>
        <v>7.0000000000000007E-2</v>
      </c>
      <c r="AF300" s="40">
        <f>(U300+W300+Z300+AB300+AD300+AA300+VLOOKUP(C300,[1]apoio_Prec_Folha!$A:$S,7,FALSE))*AE300</f>
        <v>485.63180943513692</v>
      </c>
      <c r="AG300" s="40">
        <f t="shared" si="117"/>
        <v>6873.37</v>
      </c>
      <c r="AH300" s="43">
        <f t="shared" si="118"/>
        <v>7832.89</v>
      </c>
      <c r="AI300" s="43">
        <f t="shared" si="119"/>
        <v>31331.56</v>
      </c>
      <c r="AJ300" s="43">
        <f t="shared" si="120"/>
        <v>1879893.6</v>
      </c>
      <c r="AK300" s="44">
        <f>VLOOKUP(D300,[1]apoio_Preços_MGS!$A$6:$AN$238,39,FALSE)</f>
        <v>200.00000000000003</v>
      </c>
      <c r="AL300" s="44">
        <f>IF(J300="demais municípios",VLOOKUP(D300,[1]apoio_Preços_MGS!$A$6:$AN$238,39,FALSE),0)</f>
        <v>200.00000000000003</v>
      </c>
      <c r="AM300" s="44">
        <v>0</v>
      </c>
      <c r="AN300" s="45">
        <f>AK300*K300</f>
        <v>800.00000000000011</v>
      </c>
      <c r="AO300" s="44">
        <f>VLOOKUP(D300,[1]apoio_Preços_MGS!$A$6:$AN$238,40,FALSE)</f>
        <v>549.85</v>
      </c>
      <c r="AP300" s="44">
        <f>IF(J300="demais municípios",VLOOKUP(D300,[1]apoio_Preços_MGS!$A$6:$AN$238,40,FALSE),0)</f>
        <v>549.85</v>
      </c>
      <c r="AQ300" s="44">
        <v>0</v>
      </c>
      <c r="AR300" s="45">
        <f>AO300*K300</f>
        <v>2199.4</v>
      </c>
      <c r="AS300" s="45">
        <f t="shared" si="127"/>
        <v>2999.4</v>
      </c>
      <c r="AT300" s="45">
        <f t="shared" si="128"/>
        <v>179964</v>
      </c>
      <c r="AU300" s="62"/>
      <c r="AV300" s="46"/>
      <c r="AW300" s="47"/>
      <c r="AX300" s="48"/>
      <c r="AY300" s="49"/>
      <c r="BA300" s="48"/>
    </row>
    <row r="301" spans="1:53" ht="19.5" customHeight="1" x14ac:dyDescent="0.25">
      <c r="A301" s="33" t="str">
        <f t="shared" si="123"/>
        <v>105570440,05</v>
      </c>
      <c r="B301" s="33" t="str">
        <f t="shared" si="124"/>
        <v>11710,05</v>
      </c>
      <c r="C301" s="34" t="str">
        <f>VLOOKUP(D301,[1]apoio_Preços_MGS!$A$6:$B$238,2,FALSE)</f>
        <v>ENCARREGADO</v>
      </c>
      <c r="D301" s="35">
        <v>1171</v>
      </c>
      <c r="E301" s="33" t="str">
        <f>VLOOKUP(D301,[1]apoio_Preços_MGS!$A$6:$F$238,6,FALSE)</f>
        <v>ENCARREGADO - 12x36 NOTURNO</v>
      </c>
      <c r="F301" s="36">
        <f>IFERROR(VLOOKUP(D301,'[1]apoio_cód catmas'!$B$2:$C$863,2,FALSE),0)</f>
        <v>105570</v>
      </c>
      <c r="G301" s="33" t="str">
        <f>IF(H301="N/A",VLOOKUP(F301&amp;40,'[1]apoio_cód catmas'!$A$1:$G$233,4,FALSE),VLOOKUP(F301&amp;H301,'[1]apoio_cód catmas'!$A$1:$G$233,4,FALSE))</f>
        <v>ENCARREGADO - 12X36 NOTURNO - 44H</v>
      </c>
      <c r="H301" s="36">
        <v>44</v>
      </c>
      <c r="I301" s="37">
        <v>0.05</v>
      </c>
      <c r="J301" s="38" t="s">
        <v>47</v>
      </c>
      <c r="K301" s="39">
        <v>7</v>
      </c>
      <c r="L301" s="39">
        <f t="shared" si="113"/>
        <v>420</v>
      </c>
      <c r="M301" s="40">
        <f>VLOOKUP(D301,[1]apoio_Preços_MGS!$A$6:$AN$238,18,FALSE)</f>
        <v>2708.6688517628227</v>
      </c>
      <c r="N301" s="40">
        <f>VLOOKUP(D301,[1]apoio_Preços_MGS!$A$6:$AN$238,19,FALSE)</f>
        <v>0</v>
      </c>
      <c r="O301" s="40">
        <f>VLOOKUP(D301,[1]apoio_Preços_MGS!$A$6:$AN$238,20,FALSE)</f>
        <v>631.01002782756893</v>
      </c>
      <c r="P301" s="40">
        <f>VLOOKUP(D301,[1]apoio_Preços_MGS!$A$6:$AN$238,21,FALSE)</f>
        <v>13.773980130468713</v>
      </c>
      <c r="Q301" s="40">
        <f>VLOOKUP(D301,[1]apoio_Preços_MGS!$A$6:$AN$238,22,FALSE)</f>
        <v>51.652409993530014</v>
      </c>
      <c r="R301" s="40">
        <f>VLOOKUP(D301,[1]apoio_Preços_MGS!$A$6:$AN$238,23,FALSE)</f>
        <v>0</v>
      </c>
      <c r="S301" s="40">
        <f>VLOOKUP(D301,[1]apoio_Preços_MGS!$A$6:$AN$238,24,FALSE)</f>
        <v>0</v>
      </c>
      <c r="T301" s="40">
        <f>VLOOKUP(D301,[1]apoio_Preços_MGS!$A$6:$AN$238,25,FALSE)</f>
        <v>3.7620400718928093</v>
      </c>
      <c r="U301" s="40">
        <f t="shared" si="107"/>
        <v>3408.8673097862834</v>
      </c>
      <c r="V301" s="41">
        <f>VLOOKUP(D301,[1]apoio_Preços_MGS!$A$6:$AN$238,27,FALSE)</f>
        <v>0.81799999999999995</v>
      </c>
      <c r="W301" s="40">
        <f t="shared" si="108"/>
        <v>2788.4534594051797</v>
      </c>
      <c r="X301" s="40">
        <f>VLOOKUP(D301,[1]apoio_Preços_MGS!$A$6:$AN$238,29,FALSE)</f>
        <v>26.792727272727276</v>
      </c>
      <c r="Y301" s="40">
        <f>VLOOKUP(D301,[1]apoio_Preços_MGS!$A$6:$AN$238,30,FALSE)</f>
        <v>11.958255633255634</v>
      </c>
      <c r="Z301" s="40">
        <f t="shared" si="116"/>
        <v>38.750982905982909</v>
      </c>
      <c r="AA301" s="40">
        <f>VLOOKUP(D301,[1]apoio_Preços_MGS!$A$6:$AN$238,32,FALSE)</f>
        <v>5.2006441953846192</v>
      </c>
      <c r="AB301" s="40">
        <f>VLOOKUP(D301,[1]apoio_Preços_MGS!$A$6:$AN$238,33,FALSE)</f>
        <v>146.4710351981351</v>
      </c>
      <c r="AC301" s="41">
        <f>VLOOKUP(D301,[1]apoio_Preços_MGS!$A$6:$AN$238,34,FALSE)</f>
        <v>0</v>
      </c>
      <c r="AD301" s="40">
        <f>(U301+W301+Z301+AB301+AA301+VLOOKUP(C301,[1]apoio_Prec_Folha!$A:$S,7,FALSE))*AC301</f>
        <v>0</v>
      </c>
      <c r="AE301" s="42">
        <f>VLOOKUP(D301,[1]apoio_Preços_MGS!$A$6:$AN$238,36,FALSE)</f>
        <v>7.0000000000000007E-2</v>
      </c>
      <c r="AF301" s="40">
        <f>(U301+W301+Z301+AB301+AD301+AA301+VLOOKUP(C301,[1]apoio_Prec_Folha!$A:$S,7,FALSE))*AE301</f>
        <v>485.63180943513692</v>
      </c>
      <c r="AG301" s="40">
        <f t="shared" si="117"/>
        <v>6873.37</v>
      </c>
      <c r="AH301" s="43">
        <f t="shared" si="118"/>
        <v>8015.58</v>
      </c>
      <c r="AI301" s="43">
        <f t="shared" si="119"/>
        <v>56109.06</v>
      </c>
      <c r="AJ301" s="43">
        <f t="shared" si="120"/>
        <v>3366543.6</v>
      </c>
      <c r="AK301" s="44">
        <f>VLOOKUP(D301,[1]apoio_Preços_MGS!$A$6:$AN$238,39,FALSE)</f>
        <v>200.00000000000003</v>
      </c>
      <c r="AL301" s="44">
        <f>IF(J301="demais municípios",VLOOKUP(D301,[1]apoio_Preços_MGS!$A$6:$AN$238,39,FALSE),0)</f>
        <v>0</v>
      </c>
      <c r="AM301" s="44">
        <f>TRUNC(ROUND(($I301)/(1-($I301)),5)*VLOOKUP(D301,[1]apoio_Preços_MGS!$A$6:$AN$238,39,FALSE)+VLOOKUP(D301,[1]apoio_Preços_MGS!$A$6:$AN$238,39,FALSE),2)</f>
        <v>210.52</v>
      </c>
      <c r="AN301" s="45">
        <f t="shared" si="129"/>
        <v>1473.64</v>
      </c>
      <c r="AO301" s="44">
        <f>VLOOKUP(D301,[1]apoio_Preços_MGS!$A$6:$AN$238,40,FALSE)</f>
        <v>549.85</v>
      </c>
      <c r="AP301" s="44">
        <f>IF(J301="demais municípios",VLOOKUP(D301,[1]apoio_Preços_MGS!$A$6:$AN$238,40,FALSE),0)</f>
        <v>0</v>
      </c>
      <c r="AQ301" s="44">
        <f>TRUNC(ROUND(($I301)/(1-($I301)),5)*VLOOKUP(D301,[1]apoio_Preços_MGS!$A$6:$AN$238,40,FALSE)+VLOOKUP(D301,[1]apoio_Preços_MGS!$A$6:$AN$238,40,FALSE),2)</f>
        <v>578.78</v>
      </c>
      <c r="AR301" s="45">
        <f t="shared" si="130"/>
        <v>4051.46</v>
      </c>
      <c r="AS301" s="45">
        <f t="shared" si="127"/>
        <v>5525.1</v>
      </c>
      <c r="AT301" s="45">
        <f t="shared" si="128"/>
        <v>331506</v>
      </c>
      <c r="AU301" s="62"/>
      <c r="AV301" s="46"/>
      <c r="AW301" s="47"/>
      <c r="AX301" s="48"/>
      <c r="AY301" s="49"/>
      <c r="BA301" s="48"/>
    </row>
    <row r="302" spans="1:53" ht="19.5" customHeight="1" x14ac:dyDescent="0.25">
      <c r="A302" s="33" t="str">
        <f t="shared" si="123"/>
        <v>146269400,02</v>
      </c>
      <c r="B302" s="33" t="str">
        <f t="shared" si="124"/>
        <v>18990,02</v>
      </c>
      <c r="C302" s="34" t="str">
        <f>VLOOKUP(D302,[1]apoio_Preços_MGS!$A$6:$B$238,2,FALSE)</f>
        <v>ENCARREGADO GERAL</v>
      </c>
      <c r="D302" s="35">
        <v>1899</v>
      </c>
      <c r="E302" s="33" t="str">
        <f>VLOOKUP(D302,[1]apoio_Preços_MGS!$A$6:$F$238,6,FALSE)</f>
        <v>ENCARREGADO GERAL - DIARISTA DIURNO</v>
      </c>
      <c r="F302" s="36">
        <f>IFERROR(VLOOKUP(D302,'[1]apoio_cód catmas'!$B$2:$C$863,2,FALSE),0)</f>
        <v>146269</v>
      </c>
      <c r="G302" s="33" t="str">
        <f>IF(H302="N/A",VLOOKUP(F302&amp;40,'[1]apoio_cód catmas'!$A$1:$G$233,4,FALSE),VLOOKUP(F302&amp;H302,'[1]apoio_cód catmas'!$A$1:$G$233,4,FALSE))</f>
        <v>ENCARREGADO GERAL - 40H OU 44H</v>
      </c>
      <c r="H302" s="36">
        <v>40</v>
      </c>
      <c r="I302" s="37">
        <v>0.02</v>
      </c>
      <c r="J302" s="38" t="s">
        <v>46</v>
      </c>
      <c r="K302" s="39">
        <v>4</v>
      </c>
      <c r="L302" s="39">
        <f t="shared" si="113"/>
        <v>240</v>
      </c>
      <c r="M302" s="40">
        <f>VLOOKUP(D302,[1]apoio_Preços_MGS!$A$6:$AN$238,18,FALSE)</f>
        <v>3558.8949999999995</v>
      </c>
      <c r="N302" s="40">
        <f>VLOOKUP(D302,[1]apoio_Preços_MGS!$A$6:$AN$238,19,FALSE)</f>
        <v>0</v>
      </c>
      <c r="O302" s="40">
        <f>VLOOKUP(D302,[1]apoio_Preços_MGS!$A$6:$AN$238,20,FALSE)</f>
        <v>0</v>
      </c>
      <c r="P302" s="40">
        <f>VLOOKUP(D302,[1]apoio_Preços_MGS!$A$6:$AN$238,21,FALSE)</f>
        <v>0</v>
      </c>
      <c r="Q302" s="40">
        <f>VLOOKUP(D302,[1]apoio_Preços_MGS!$A$6:$AN$238,22,FALSE)</f>
        <v>0</v>
      </c>
      <c r="R302" s="40">
        <f>VLOOKUP(D302,[1]apoio_Preços_MGS!$A$6:$AN$238,23,FALSE)</f>
        <v>0</v>
      </c>
      <c r="S302" s="40">
        <f>VLOOKUP(D302,[1]apoio_Preços_MGS!$A$6:$AN$238,24,FALSE)</f>
        <v>0</v>
      </c>
      <c r="T302" s="40">
        <f>VLOOKUP(D302,[1]apoio_Preços_MGS!$A$6:$AN$238,25,FALSE)</f>
        <v>0</v>
      </c>
      <c r="U302" s="40">
        <f t="shared" si="107"/>
        <v>3558.8949999999995</v>
      </c>
      <c r="V302" s="41">
        <f>VLOOKUP(D302,[1]apoio_Preços_MGS!$A$6:$AN$238,27,FALSE)</f>
        <v>0.81799999999999995</v>
      </c>
      <c r="W302" s="40">
        <f t="shared" si="108"/>
        <v>2911.1761099999994</v>
      </c>
      <c r="X302" s="40">
        <f>VLOOKUP(D302,[1]apoio_Preços_MGS!$A$6:$AN$238,29,FALSE)</f>
        <v>26.792727272727276</v>
      </c>
      <c r="Y302" s="40">
        <f>VLOOKUP(D302,[1]apoio_Preços_MGS!$A$6:$AN$238,30,FALSE)</f>
        <v>0</v>
      </c>
      <c r="Z302" s="40">
        <f>Y302+X302</f>
        <v>26.792727272727276</v>
      </c>
      <c r="AA302" s="40">
        <f>VLOOKUP(D302,[1]apoio_Preços_MGS!$A$6:$AN$238,32,FALSE)</f>
        <v>6.8330783999999989</v>
      </c>
      <c r="AB302" s="40">
        <f>VLOOKUP(D302,[1]apoio_Preços_MGS!$A$6:$AN$238,33,FALSE)</f>
        <v>336.4636363636364</v>
      </c>
      <c r="AC302" s="41">
        <f>VLOOKUP(D302,[1]apoio_Preços_MGS!$A$6:$AN$238,34,FALSE)</f>
        <v>0</v>
      </c>
      <c r="AD302" s="40">
        <f>(U302+W302+Z302+AB302+AA302+VLOOKUP(C302,[1]apoio_Prec_Folha!$A:$S,7,FALSE))*AC302</f>
        <v>0</v>
      </c>
      <c r="AE302" s="42">
        <f>VLOOKUP(D302,[1]apoio_Preços_MGS!$A$6:$AN$238,36,FALSE)</f>
        <v>7.0000000000000007E-2</v>
      </c>
      <c r="AF302" s="40">
        <f>(U302+W302+Z302+AB302+AD302+AA302+VLOOKUP(C302,[1]apoio_Prec_Folha!$A:$S,7,FALSE))*AE302</f>
        <v>517.42183864254548</v>
      </c>
      <c r="AG302" s="40">
        <f>TRUNC(U302+W302+Z302+AB302+AA302+AD302+AF302,2)</f>
        <v>7357.58</v>
      </c>
      <c r="AH302" s="43">
        <f t="shared" si="118"/>
        <v>8290.2199999999993</v>
      </c>
      <c r="AI302" s="43">
        <f>AH302*K302</f>
        <v>33160.879999999997</v>
      </c>
      <c r="AJ302" s="43">
        <f>AH302*L302</f>
        <v>1989652.7999999998</v>
      </c>
      <c r="AK302" s="44">
        <f>VLOOKUP(D302,[1]apoio_Preços_MGS!$A$6:$AN$238,39,FALSE)</f>
        <v>181.81818181818184</v>
      </c>
      <c r="AL302" s="44">
        <f>IF(J302="demais municípios",VLOOKUP(D302,[1]apoio_Preços_MGS!$A$6:$AN$238,39,FALSE),0)</f>
        <v>181.81818181818184</v>
      </c>
      <c r="AM302" s="44">
        <v>0</v>
      </c>
      <c r="AN302" s="45">
        <f t="shared" ref="AN302:AN307" si="143">AK302*K302</f>
        <v>727.27272727272737</v>
      </c>
      <c r="AO302" s="44">
        <f>VLOOKUP(D302,[1]apoio_Preços_MGS!$A$6:$AN$238,40,FALSE)</f>
        <v>551.58000000000004</v>
      </c>
      <c r="AP302" s="44">
        <f>IF(J302="demais municípios",VLOOKUP(D302,[1]apoio_Preços_MGS!$A$6:$AN$238,40,FALSE),0)</f>
        <v>551.58000000000004</v>
      </c>
      <c r="AQ302" s="44">
        <v>0</v>
      </c>
      <c r="AR302" s="45">
        <f t="shared" ref="AR302:AR307" si="144">AO302*K302</f>
        <v>2206.3200000000002</v>
      </c>
      <c r="AS302" s="45">
        <f t="shared" si="127"/>
        <v>2933.5927272727276</v>
      </c>
      <c r="AT302" s="45">
        <f t="shared" si="128"/>
        <v>176015.56363636366</v>
      </c>
      <c r="AU302" s="62"/>
      <c r="AV302" s="46"/>
      <c r="AW302" s="47"/>
      <c r="AX302" s="48"/>
      <c r="AY302" s="49"/>
      <c r="BA302" s="48"/>
    </row>
    <row r="303" spans="1:53" ht="19.5" customHeight="1" x14ac:dyDescent="0.25">
      <c r="A303" s="33" t="str">
        <f t="shared" si="123"/>
        <v>146269400,03</v>
      </c>
      <c r="B303" s="33" t="str">
        <f t="shared" si="124"/>
        <v>18990,03</v>
      </c>
      <c r="C303" s="34" t="str">
        <f>VLOOKUP(D303,[1]apoio_Preços_MGS!$A$6:$B$238,2,FALSE)</f>
        <v>ENCARREGADO GERAL</v>
      </c>
      <c r="D303" s="35">
        <v>1899</v>
      </c>
      <c r="E303" s="33" t="str">
        <f>VLOOKUP(D303,[1]apoio_Preços_MGS!$A$6:$F$238,6,FALSE)</f>
        <v>ENCARREGADO GERAL - DIARISTA DIURNO</v>
      </c>
      <c r="F303" s="36">
        <f>IFERROR(VLOOKUP(D303,'[1]apoio_cód catmas'!$B$2:$C$863,2,FALSE),0)</f>
        <v>146269</v>
      </c>
      <c r="G303" s="33" t="str">
        <f>IF(H303="N/A",VLOOKUP(F303&amp;40,'[1]apoio_cód catmas'!$A$1:$G$233,4,FALSE),VLOOKUP(F303&amp;H303,'[1]apoio_cód catmas'!$A$1:$G$233,4,FALSE))</f>
        <v>ENCARREGADO GERAL - 40H OU 44H</v>
      </c>
      <c r="H303" s="36">
        <v>40</v>
      </c>
      <c r="I303" s="37">
        <v>0.03</v>
      </c>
      <c r="J303" s="38" t="s">
        <v>46</v>
      </c>
      <c r="K303" s="39">
        <v>10</v>
      </c>
      <c r="L303" s="39">
        <f t="shared" si="113"/>
        <v>600</v>
      </c>
      <c r="M303" s="40">
        <f>VLOOKUP(D303,[1]apoio_Preços_MGS!$A$6:$AN$238,18,FALSE)</f>
        <v>3558.8949999999995</v>
      </c>
      <c r="N303" s="40">
        <f>VLOOKUP(D303,[1]apoio_Preços_MGS!$A$6:$AN$238,19,FALSE)</f>
        <v>0</v>
      </c>
      <c r="O303" s="40">
        <f>VLOOKUP(D303,[1]apoio_Preços_MGS!$A$6:$AN$238,20,FALSE)</f>
        <v>0</v>
      </c>
      <c r="P303" s="40">
        <f>VLOOKUP(D303,[1]apoio_Preços_MGS!$A$6:$AN$238,21,FALSE)</f>
        <v>0</v>
      </c>
      <c r="Q303" s="40">
        <f>VLOOKUP(D303,[1]apoio_Preços_MGS!$A$6:$AN$238,22,FALSE)</f>
        <v>0</v>
      </c>
      <c r="R303" s="40">
        <f>VLOOKUP(D303,[1]apoio_Preços_MGS!$A$6:$AN$238,23,FALSE)</f>
        <v>0</v>
      </c>
      <c r="S303" s="40">
        <f>VLOOKUP(D303,[1]apoio_Preços_MGS!$A$6:$AN$238,24,FALSE)</f>
        <v>0</v>
      </c>
      <c r="T303" s="40">
        <f>VLOOKUP(D303,[1]apoio_Preços_MGS!$A$6:$AN$238,25,FALSE)</f>
        <v>0</v>
      </c>
      <c r="U303" s="40">
        <f t="shared" si="107"/>
        <v>3558.8949999999995</v>
      </c>
      <c r="V303" s="41">
        <f>VLOOKUP(D303,[1]apoio_Preços_MGS!$A$6:$AN$238,27,FALSE)</f>
        <v>0.81799999999999995</v>
      </c>
      <c r="W303" s="40">
        <f t="shared" si="108"/>
        <v>2911.1761099999994</v>
      </c>
      <c r="X303" s="40">
        <f>VLOOKUP(D303,[1]apoio_Preços_MGS!$A$6:$AN$238,29,FALSE)</f>
        <v>26.792727272727276</v>
      </c>
      <c r="Y303" s="40">
        <f>VLOOKUP(D303,[1]apoio_Preços_MGS!$A$6:$AN$238,30,FALSE)</f>
        <v>0</v>
      </c>
      <c r="Z303" s="40">
        <f>Y303+X303</f>
        <v>26.792727272727276</v>
      </c>
      <c r="AA303" s="40">
        <f>VLOOKUP(D303,[1]apoio_Preços_MGS!$A$6:$AN$238,32,FALSE)</f>
        <v>6.8330783999999989</v>
      </c>
      <c r="AB303" s="40">
        <f>VLOOKUP(D303,[1]apoio_Preços_MGS!$A$6:$AN$238,33,FALSE)</f>
        <v>336.4636363636364</v>
      </c>
      <c r="AC303" s="41">
        <f>VLOOKUP(D303,[1]apoio_Preços_MGS!$A$6:$AN$238,34,FALSE)</f>
        <v>0</v>
      </c>
      <c r="AD303" s="40">
        <f>(U303+W303+Z303+AB303+AA303+VLOOKUP(C303,[1]apoio_Prec_Folha!$A:$S,7,FALSE))*AC303</f>
        <v>0</v>
      </c>
      <c r="AE303" s="42">
        <f>VLOOKUP(D303,[1]apoio_Preços_MGS!$A$6:$AN$238,36,FALSE)</f>
        <v>7.0000000000000007E-2</v>
      </c>
      <c r="AF303" s="40">
        <f>(U303+W303+Z303+AB303+AD303+AA303+VLOOKUP(C303,[1]apoio_Prec_Folha!$A:$S,7,FALSE))*AE303</f>
        <v>517.42183864254548</v>
      </c>
      <c r="AG303" s="40">
        <f>TRUNC(U303+W303+Z303+AB303+AA303+AD303+AF303,2)</f>
        <v>7357.58</v>
      </c>
      <c r="AH303" s="43">
        <f t="shared" si="118"/>
        <v>8384.69</v>
      </c>
      <c r="AI303" s="43">
        <f>AH303*K303</f>
        <v>83846.900000000009</v>
      </c>
      <c r="AJ303" s="43">
        <f>AH303*L303</f>
        <v>5030814</v>
      </c>
      <c r="AK303" s="44">
        <f>VLOOKUP(D303,[1]apoio_Preços_MGS!$A$6:$AN$238,39,FALSE)</f>
        <v>181.81818181818184</v>
      </c>
      <c r="AL303" s="44">
        <f>IF(J303="demais municípios",VLOOKUP(D303,[1]apoio_Preços_MGS!$A$6:$AN$238,39,FALSE),0)</f>
        <v>181.81818181818184</v>
      </c>
      <c r="AM303" s="44">
        <v>0</v>
      </c>
      <c r="AN303" s="45">
        <f t="shared" si="143"/>
        <v>1818.1818181818185</v>
      </c>
      <c r="AO303" s="44">
        <f>VLOOKUP(D303,[1]apoio_Preços_MGS!$A$6:$AN$238,40,FALSE)</f>
        <v>551.58000000000004</v>
      </c>
      <c r="AP303" s="44">
        <f>IF(J303="demais municípios",VLOOKUP(D303,[1]apoio_Preços_MGS!$A$6:$AN$238,40,FALSE),0)</f>
        <v>551.58000000000004</v>
      </c>
      <c r="AQ303" s="44">
        <v>0</v>
      </c>
      <c r="AR303" s="45">
        <f t="shared" si="144"/>
        <v>5515.8</v>
      </c>
      <c r="AS303" s="45">
        <f t="shared" si="127"/>
        <v>7333.9818181818191</v>
      </c>
      <c r="AT303" s="45">
        <f t="shared" si="128"/>
        <v>440038.90909090918</v>
      </c>
      <c r="AU303" s="62"/>
      <c r="AV303" s="46"/>
      <c r="AW303" s="47"/>
      <c r="AX303" s="48"/>
      <c r="AY303" s="49"/>
      <c r="BA303" s="48"/>
    </row>
    <row r="304" spans="1:53" ht="19.5" customHeight="1" x14ac:dyDescent="0.25">
      <c r="A304" s="33" t="str">
        <f t="shared" si="123"/>
        <v>146269400,035</v>
      </c>
      <c r="B304" s="33" t="str">
        <f t="shared" si="124"/>
        <v>18990,035</v>
      </c>
      <c r="C304" s="34" t="str">
        <f>VLOOKUP(D304,[1]apoio_Preços_MGS!$A$6:$B$238,2,FALSE)</f>
        <v>ENCARREGADO GERAL</v>
      </c>
      <c r="D304" s="35">
        <v>1899</v>
      </c>
      <c r="E304" s="33" t="str">
        <f>VLOOKUP(D304,[1]apoio_Preços_MGS!$A$6:$F$238,6,FALSE)</f>
        <v>ENCARREGADO GERAL - DIARISTA DIURNO</v>
      </c>
      <c r="F304" s="36">
        <f>IFERROR(VLOOKUP(D304,'[1]apoio_cód catmas'!$B$2:$C$863,2,FALSE),0)</f>
        <v>146269</v>
      </c>
      <c r="G304" s="33" t="str">
        <f>IF(H304="N/A",VLOOKUP(F304&amp;40,'[1]apoio_cód catmas'!$A$1:$G$233,4,FALSE),VLOOKUP(F304&amp;H304,'[1]apoio_cód catmas'!$A$1:$G$233,4,FALSE))</f>
        <v>ENCARREGADO GERAL - 40H OU 44H</v>
      </c>
      <c r="H304" s="36">
        <v>40</v>
      </c>
      <c r="I304" s="37">
        <v>3.5000000000000003E-2</v>
      </c>
      <c r="J304" s="38" t="s">
        <v>46</v>
      </c>
      <c r="K304" s="39">
        <v>1</v>
      </c>
      <c r="L304" s="39">
        <f t="shared" si="113"/>
        <v>60</v>
      </c>
      <c r="M304" s="40">
        <f>VLOOKUP(D304,[1]apoio_Preços_MGS!$A$6:$AN$238,18,FALSE)</f>
        <v>3558.8949999999995</v>
      </c>
      <c r="N304" s="40">
        <f>VLOOKUP(D304,[1]apoio_Preços_MGS!$A$6:$AN$238,19,FALSE)</f>
        <v>0</v>
      </c>
      <c r="O304" s="40">
        <f>VLOOKUP(D304,[1]apoio_Preços_MGS!$A$6:$AN$238,20,FALSE)</f>
        <v>0</v>
      </c>
      <c r="P304" s="40">
        <f>VLOOKUP(D304,[1]apoio_Preços_MGS!$A$6:$AN$238,21,FALSE)</f>
        <v>0</v>
      </c>
      <c r="Q304" s="40">
        <f>VLOOKUP(D304,[1]apoio_Preços_MGS!$A$6:$AN$238,22,FALSE)</f>
        <v>0</v>
      </c>
      <c r="R304" s="40">
        <f>VLOOKUP(D304,[1]apoio_Preços_MGS!$A$6:$AN$238,23,FALSE)</f>
        <v>0</v>
      </c>
      <c r="S304" s="40">
        <f>VLOOKUP(D304,[1]apoio_Preços_MGS!$A$6:$AN$238,24,FALSE)</f>
        <v>0</v>
      </c>
      <c r="T304" s="40">
        <f>VLOOKUP(D304,[1]apoio_Preços_MGS!$A$6:$AN$238,25,FALSE)</f>
        <v>0</v>
      </c>
      <c r="U304" s="40">
        <f t="shared" si="107"/>
        <v>3558.8949999999995</v>
      </c>
      <c r="V304" s="41">
        <f>VLOOKUP(D304,[1]apoio_Preços_MGS!$A$6:$AN$238,27,FALSE)</f>
        <v>0.81799999999999995</v>
      </c>
      <c r="W304" s="40">
        <f t="shared" si="108"/>
        <v>2911.1761099999994</v>
      </c>
      <c r="X304" s="40">
        <f>VLOOKUP(D304,[1]apoio_Preços_MGS!$A$6:$AN$238,29,FALSE)</f>
        <v>26.792727272727276</v>
      </c>
      <c r="Y304" s="40">
        <f>VLOOKUP(D304,[1]apoio_Preços_MGS!$A$6:$AN$238,30,FALSE)</f>
        <v>0</v>
      </c>
      <c r="Z304" s="40">
        <f>Y304+X304</f>
        <v>26.792727272727276</v>
      </c>
      <c r="AA304" s="40">
        <f>VLOOKUP(D304,[1]apoio_Preços_MGS!$A$6:$AN$238,32,FALSE)</f>
        <v>6.8330783999999989</v>
      </c>
      <c r="AB304" s="40">
        <f>VLOOKUP(D304,[1]apoio_Preços_MGS!$A$6:$AN$238,33,FALSE)</f>
        <v>336.4636363636364</v>
      </c>
      <c r="AC304" s="41">
        <f>VLOOKUP(D304,[1]apoio_Preços_MGS!$A$6:$AN$238,34,FALSE)</f>
        <v>0</v>
      </c>
      <c r="AD304" s="40">
        <f>(U304+W304+Z304+AB304+AA304+VLOOKUP(C304,[1]apoio_Prec_Folha!$A:$S,7,FALSE))*AC304</f>
        <v>0</v>
      </c>
      <c r="AE304" s="42">
        <f>VLOOKUP(D304,[1]apoio_Preços_MGS!$A$6:$AN$238,36,FALSE)</f>
        <v>7.0000000000000007E-2</v>
      </c>
      <c r="AF304" s="40">
        <f>(U304+W304+Z304+AB304+AD304+AA304+VLOOKUP(C304,[1]apoio_Prec_Folha!$A:$S,7,FALSE))*AE304</f>
        <v>517.42183864254548</v>
      </c>
      <c r="AG304" s="40">
        <f>TRUNC(U304+W304+Z304+AB304+AA304+AD304+AF304,2)</f>
        <v>7357.58</v>
      </c>
      <c r="AH304" s="43">
        <f t="shared" si="118"/>
        <v>8432.74</v>
      </c>
      <c r="AI304" s="43">
        <f>AH304*K304</f>
        <v>8432.74</v>
      </c>
      <c r="AJ304" s="43">
        <f>AH304*L304</f>
        <v>505964.39999999997</v>
      </c>
      <c r="AK304" s="44">
        <f>VLOOKUP(D304,[1]apoio_Preços_MGS!$A$6:$AN$238,39,FALSE)</f>
        <v>181.81818181818184</v>
      </c>
      <c r="AL304" s="44">
        <f>IF(J304="demais municípios",VLOOKUP(D304,[1]apoio_Preços_MGS!$A$6:$AN$238,39,FALSE),0)</f>
        <v>181.81818181818184</v>
      </c>
      <c r="AM304" s="44">
        <v>0</v>
      </c>
      <c r="AN304" s="45">
        <f t="shared" si="143"/>
        <v>181.81818181818184</v>
      </c>
      <c r="AO304" s="44">
        <f>VLOOKUP(D304,[1]apoio_Preços_MGS!$A$6:$AN$238,40,FALSE)</f>
        <v>551.58000000000004</v>
      </c>
      <c r="AP304" s="44">
        <f>IF(J304="demais municípios",VLOOKUP(D304,[1]apoio_Preços_MGS!$A$6:$AN$238,40,FALSE),0)</f>
        <v>551.58000000000004</v>
      </c>
      <c r="AQ304" s="44">
        <v>0</v>
      </c>
      <c r="AR304" s="45">
        <f t="shared" si="144"/>
        <v>551.58000000000004</v>
      </c>
      <c r="AS304" s="45">
        <f t="shared" si="127"/>
        <v>733.39818181818191</v>
      </c>
      <c r="AT304" s="45">
        <f t="shared" si="128"/>
        <v>44003.890909090915</v>
      </c>
      <c r="AU304" s="62"/>
      <c r="AV304" s="46"/>
      <c r="AW304" s="47"/>
      <c r="AX304" s="48"/>
      <c r="AY304" s="49"/>
      <c r="BA304" s="48"/>
    </row>
    <row r="305" spans="1:53" ht="19.5" customHeight="1" x14ac:dyDescent="0.25">
      <c r="A305" s="33" t="str">
        <f t="shared" si="123"/>
        <v>146269400,04</v>
      </c>
      <c r="B305" s="33" t="str">
        <f t="shared" si="124"/>
        <v>18990,04</v>
      </c>
      <c r="C305" s="34" t="str">
        <f>VLOOKUP(D305,[1]apoio_Preços_MGS!$A$6:$B$238,2,FALSE)</f>
        <v>ENCARREGADO GERAL</v>
      </c>
      <c r="D305" s="35">
        <v>1899</v>
      </c>
      <c r="E305" s="33" t="str">
        <f>VLOOKUP(D305,[1]apoio_Preços_MGS!$A$6:$F$238,6,FALSE)</f>
        <v>ENCARREGADO GERAL - DIARISTA DIURNO</v>
      </c>
      <c r="F305" s="36">
        <f>IFERROR(VLOOKUP(D305,'[1]apoio_cód catmas'!$B$2:$C$863,2,FALSE),0)</f>
        <v>146269</v>
      </c>
      <c r="G305" s="33" t="str">
        <f>IF(H305="N/A",VLOOKUP(F305&amp;40,'[1]apoio_cód catmas'!$A$1:$G$233,4,FALSE),VLOOKUP(F305&amp;H305,'[1]apoio_cód catmas'!$A$1:$G$233,4,FALSE))</f>
        <v>ENCARREGADO GERAL - 40H OU 44H</v>
      </c>
      <c r="H305" s="36">
        <v>40</v>
      </c>
      <c r="I305" s="37">
        <v>0.04</v>
      </c>
      <c r="J305" s="38" t="s">
        <v>46</v>
      </c>
      <c r="K305" s="39">
        <f>1-1</f>
        <v>0</v>
      </c>
      <c r="L305" s="39">
        <f>K305*60</f>
        <v>0</v>
      </c>
      <c r="M305" s="40">
        <f>VLOOKUP(D305,[1]apoio_Preços_MGS!$A$6:$AN$238,18,FALSE)</f>
        <v>3558.8949999999995</v>
      </c>
      <c r="N305" s="40">
        <f>VLOOKUP(D305,[1]apoio_Preços_MGS!$A$6:$AN$238,19,FALSE)</f>
        <v>0</v>
      </c>
      <c r="O305" s="40">
        <f>VLOOKUP(D305,[1]apoio_Preços_MGS!$A$6:$AN$238,20,FALSE)</f>
        <v>0</v>
      </c>
      <c r="P305" s="40">
        <f>VLOOKUP(D305,[1]apoio_Preços_MGS!$A$6:$AN$238,21,FALSE)</f>
        <v>0</v>
      </c>
      <c r="Q305" s="40">
        <f>VLOOKUP(D305,[1]apoio_Preços_MGS!$A$6:$AN$238,22,FALSE)</f>
        <v>0</v>
      </c>
      <c r="R305" s="40">
        <f>VLOOKUP(D305,[1]apoio_Preços_MGS!$A$6:$AN$238,23,FALSE)</f>
        <v>0</v>
      </c>
      <c r="S305" s="40">
        <f>VLOOKUP(D305,[1]apoio_Preços_MGS!$A$6:$AN$238,24,FALSE)</f>
        <v>0</v>
      </c>
      <c r="T305" s="40">
        <f>VLOOKUP(D305,[1]apoio_Preços_MGS!$A$6:$AN$238,25,FALSE)</f>
        <v>0</v>
      </c>
      <c r="U305" s="40">
        <f>SUM(M305:T305)</f>
        <v>3558.8949999999995</v>
      </c>
      <c r="V305" s="41">
        <f>VLOOKUP(D305,[1]apoio_Preços_MGS!$A$6:$AN$238,27,FALSE)</f>
        <v>0.81799999999999995</v>
      </c>
      <c r="W305" s="40">
        <f>U305*V305</f>
        <v>2911.1761099999994</v>
      </c>
      <c r="X305" s="40">
        <f>VLOOKUP(D305,[1]apoio_Preços_MGS!$A$6:$AN$238,29,FALSE)</f>
        <v>26.792727272727276</v>
      </c>
      <c r="Y305" s="40">
        <f>VLOOKUP(D305,[1]apoio_Preços_MGS!$A$6:$AN$238,30,FALSE)</f>
        <v>0</v>
      </c>
      <c r="Z305" s="40">
        <f>Y305+X305</f>
        <v>26.792727272727276</v>
      </c>
      <c r="AA305" s="40">
        <f>VLOOKUP(D305,[1]apoio_Preços_MGS!$A$6:$AN$238,32,FALSE)</f>
        <v>6.8330783999999989</v>
      </c>
      <c r="AB305" s="40">
        <f>VLOOKUP(D305,[1]apoio_Preços_MGS!$A$6:$AN$238,33,FALSE)</f>
        <v>336.4636363636364</v>
      </c>
      <c r="AC305" s="41">
        <f>VLOOKUP(D305,[1]apoio_Preços_MGS!$A$6:$AN$238,34,FALSE)</f>
        <v>0</v>
      </c>
      <c r="AD305" s="40">
        <f>(U305+W305+Z305+AB305+AA305+VLOOKUP(C305,[1]apoio_Prec_Folha!$A:$S,7,FALSE))*AC305</f>
        <v>0</v>
      </c>
      <c r="AE305" s="42">
        <f>VLOOKUP(D305,[1]apoio_Preços_MGS!$A$6:$AN$238,36,FALSE)</f>
        <v>7.0000000000000007E-2</v>
      </c>
      <c r="AF305" s="40">
        <f>(U305+W305+Z305+AB305+AD305+AA305+VLOOKUP(C305,[1]apoio_Prec_Folha!$A:$S,7,FALSE))*AE305</f>
        <v>517.42183864254548</v>
      </c>
      <c r="AG305" s="40">
        <f>TRUNC(U305+W305+Z305+AB305+AA305+AD305+AF305,2)</f>
        <v>7357.58</v>
      </c>
      <c r="AH305" s="43">
        <f t="shared" si="118"/>
        <v>8481.3700000000008</v>
      </c>
      <c r="AI305" s="43">
        <f>AH305*K305</f>
        <v>0</v>
      </c>
      <c r="AJ305" s="43">
        <f>AH305*L305</f>
        <v>0</v>
      </c>
      <c r="AK305" s="44">
        <f>VLOOKUP(D305,[1]apoio_Preços_MGS!$A$6:$AN$238,39,FALSE)</f>
        <v>181.81818181818184</v>
      </c>
      <c r="AL305" s="44">
        <f>IF(J305="demais municípios",VLOOKUP(D305,[1]apoio_Preços_MGS!$A$6:$AN$238,39,FALSE),0)</f>
        <v>181.81818181818184</v>
      </c>
      <c r="AM305" s="44">
        <v>0</v>
      </c>
      <c r="AN305" s="45">
        <f t="shared" si="143"/>
        <v>0</v>
      </c>
      <c r="AO305" s="44">
        <f>VLOOKUP(D305,[1]apoio_Preços_MGS!$A$6:$AN$238,40,FALSE)</f>
        <v>551.58000000000004</v>
      </c>
      <c r="AP305" s="44">
        <f>IF(J305="demais municípios",VLOOKUP(D305,[1]apoio_Preços_MGS!$A$6:$AN$238,40,FALSE),0)</f>
        <v>551.58000000000004</v>
      </c>
      <c r="AQ305" s="44">
        <v>0</v>
      </c>
      <c r="AR305" s="45">
        <f t="shared" si="144"/>
        <v>0</v>
      </c>
      <c r="AS305" s="45">
        <f t="shared" si="127"/>
        <v>0</v>
      </c>
      <c r="AT305" s="45">
        <f t="shared" si="128"/>
        <v>0</v>
      </c>
      <c r="AU305" s="62"/>
      <c r="AV305" s="46"/>
      <c r="AW305" s="47"/>
      <c r="AX305" s="48"/>
      <c r="AY305" s="49"/>
      <c r="BA305" s="48"/>
    </row>
    <row r="306" spans="1:53" ht="19.5" customHeight="1" x14ac:dyDescent="0.25">
      <c r="A306" s="33" t="str">
        <f t="shared" si="123"/>
        <v>146269400,05</v>
      </c>
      <c r="B306" s="33" t="str">
        <f t="shared" si="124"/>
        <v>18990,05</v>
      </c>
      <c r="C306" s="34" t="str">
        <f>VLOOKUP(D306,[1]apoio_Preços_MGS!$A$6:$B$238,2,FALSE)</f>
        <v>ENCARREGADO GERAL</v>
      </c>
      <c r="D306" s="35">
        <v>1899</v>
      </c>
      <c r="E306" s="33" t="str">
        <f>VLOOKUP(D306,[1]apoio_Preços_MGS!$A$6:$F$238,6,FALSE)</f>
        <v>ENCARREGADO GERAL - DIARISTA DIURNO</v>
      </c>
      <c r="F306" s="36">
        <f>IFERROR(VLOOKUP(D306,'[1]apoio_cód catmas'!$B$2:$C$863,2,FALSE),0)</f>
        <v>146269</v>
      </c>
      <c r="G306" s="33" t="str">
        <f>IF(H306="N/A",VLOOKUP(F306&amp;40,'[1]apoio_cód catmas'!$A$1:$G$233,4,FALSE),VLOOKUP(F306&amp;H306,'[1]apoio_cód catmas'!$A$1:$G$233,4,FALSE))</f>
        <v>ENCARREGADO GERAL - 40H OU 44H</v>
      </c>
      <c r="H306" s="36">
        <v>40</v>
      </c>
      <c r="I306" s="37">
        <v>0.05</v>
      </c>
      <c r="J306" s="38" t="s">
        <v>46</v>
      </c>
      <c r="K306" s="39">
        <v>1</v>
      </c>
      <c r="L306" s="39">
        <f>K306*56</f>
        <v>56</v>
      </c>
      <c r="M306" s="40">
        <f>VLOOKUP(D306,[1]apoio_Preços_MGS!$A$6:$AN$238,18,FALSE)</f>
        <v>3558.8949999999995</v>
      </c>
      <c r="N306" s="40">
        <f>VLOOKUP(D306,[1]apoio_Preços_MGS!$A$6:$AN$238,19,FALSE)</f>
        <v>0</v>
      </c>
      <c r="O306" s="40">
        <f>VLOOKUP(D306,[1]apoio_Preços_MGS!$A$6:$AN$238,20,FALSE)</f>
        <v>0</v>
      </c>
      <c r="P306" s="40">
        <f>VLOOKUP(D306,[1]apoio_Preços_MGS!$A$6:$AN$238,21,FALSE)</f>
        <v>0</v>
      </c>
      <c r="Q306" s="40">
        <f>VLOOKUP(D306,[1]apoio_Preços_MGS!$A$6:$AN$238,22,FALSE)</f>
        <v>0</v>
      </c>
      <c r="R306" s="40">
        <f>VLOOKUP(D306,[1]apoio_Preços_MGS!$A$6:$AN$238,23,FALSE)</f>
        <v>0</v>
      </c>
      <c r="S306" s="40">
        <f>VLOOKUP(D306,[1]apoio_Preços_MGS!$A$6:$AN$238,24,FALSE)</f>
        <v>0</v>
      </c>
      <c r="T306" s="40">
        <f>VLOOKUP(D306,[1]apoio_Preços_MGS!$A$6:$AN$238,25,FALSE)</f>
        <v>0</v>
      </c>
      <c r="U306" s="40">
        <f t="shared" ref="U306" si="145">SUM(M306:T306)</f>
        <v>3558.8949999999995</v>
      </c>
      <c r="V306" s="41">
        <f>VLOOKUP(D306,[1]apoio_Preços_MGS!$A$6:$AN$238,27,FALSE)</f>
        <v>0.81799999999999995</v>
      </c>
      <c r="W306" s="40">
        <f t="shared" ref="W306" si="146">U306*V306</f>
        <v>2911.1761099999994</v>
      </c>
      <c r="X306" s="40">
        <f>VLOOKUP(D306,[1]apoio_Preços_MGS!$A$6:$AN$238,29,FALSE)</f>
        <v>26.792727272727276</v>
      </c>
      <c r="Y306" s="40">
        <f>VLOOKUP(D306,[1]apoio_Preços_MGS!$A$6:$AN$238,30,FALSE)</f>
        <v>0</v>
      </c>
      <c r="Z306" s="40">
        <f>Y306+X306</f>
        <v>26.792727272727276</v>
      </c>
      <c r="AA306" s="40">
        <f>VLOOKUP(D306,[1]apoio_Preços_MGS!$A$6:$AN$238,32,FALSE)</f>
        <v>6.8330783999999989</v>
      </c>
      <c r="AB306" s="40">
        <f>VLOOKUP(D306,[1]apoio_Preços_MGS!$A$6:$AN$238,33,FALSE)</f>
        <v>336.4636363636364</v>
      </c>
      <c r="AC306" s="41">
        <f>VLOOKUP(D306,[1]apoio_Preços_MGS!$A$6:$AN$238,34,FALSE)</f>
        <v>0</v>
      </c>
      <c r="AD306" s="40">
        <f>(U306+W306+Z306+AB306+AA306+VLOOKUP(C306,[1]apoio_Prec_Folha!$A:$S,7,FALSE))*AC306</f>
        <v>0</v>
      </c>
      <c r="AE306" s="42">
        <f>VLOOKUP(D306,[1]apoio_Preços_MGS!$A$6:$AN$238,36,FALSE)</f>
        <v>7.0000000000000007E-2</v>
      </c>
      <c r="AF306" s="40">
        <f>(U306+W306+Z306+AB306+AD306+AA306+VLOOKUP(C306,[1]apoio_Prec_Folha!$A:$S,7,FALSE))*AE306</f>
        <v>517.42183864254548</v>
      </c>
      <c r="AG306" s="40">
        <f>TRUNC(U306+W306+Z306+AB306+AA306+AD306+AF306,2)</f>
        <v>7357.58</v>
      </c>
      <c r="AH306" s="43">
        <f t="shared" si="118"/>
        <v>8580.26</v>
      </c>
      <c r="AI306" s="43">
        <f>AH306*K306</f>
        <v>8580.26</v>
      </c>
      <c r="AJ306" s="43">
        <f>AH306*L306</f>
        <v>480494.56</v>
      </c>
      <c r="AK306" s="44">
        <f>VLOOKUP(D306,[1]apoio_Preços_MGS!$A$6:$AN$238,39,FALSE)</f>
        <v>181.81818181818184</v>
      </c>
      <c r="AL306" s="44">
        <f>IF(J306="demais municípios",VLOOKUP(D306,[1]apoio_Preços_MGS!$A$6:$AN$238,39,FALSE),0)</f>
        <v>181.81818181818184</v>
      </c>
      <c r="AM306" s="44">
        <v>0</v>
      </c>
      <c r="AN306" s="45">
        <f t="shared" si="143"/>
        <v>181.81818181818184</v>
      </c>
      <c r="AO306" s="44">
        <f>VLOOKUP(D306,[1]apoio_Preços_MGS!$A$6:$AN$238,40,FALSE)</f>
        <v>551.58000000000004</v>
      </c>
      <c r="AP306" s="44">
        <f>IF(J306="demais municípios",VLOOKUP(D306,[1]apoio_Preços_MGS!$A$6:$AN$238,40,FALSE),0)</f>
        <v>551.58000000000004</v>
      </c>
      <c r="AQ306" s="44">
        <v>0</v>
      </c>
      <c r="AR306" s="45">
        <f t="shared" si="144"/>
        <v>551.58000000000004</v>
      </c>
      <c r="AS306" s="45">
        <f t="shared" si="127"/>
        <v>733.39818181818191</v>
      </c>
      <c r="AT306" s="45">
        <f t="shared" si="128"/>
        <v>44003.890909090915</v>
      </c>
      <c r="AU306" s="62"/>
      <c r="AV306" s="46"/>
      <c r="AW306" s="47"/>
      <c r="AX306" s="48"/>
      <c r="AY306" s="49"/>
      <c r="BA306" s="48"/>
    </row>
    <row r="307" spans="1:53" ht="19.5" customHeight="1" x14ac:dyDescent="0.25">
      <c r="A307" s="33" t="str">
        <f t="shared" si="123"/>
        <v>146269400,05</v>
      </c>
      <c r="B307" s="33" t="str">
        <f t="shared" si="124"/>
        <v>18990,05</v>
      </c>
      <c r="C307" s="34" t="str">
        <f>VLOOKUP(D307,[1]apoio_Preços_MGS!$A$6:$B$238,2,FALSE)</f>
        <v>ENCARREGADO GERAL</v>
      </c>
      <c r="D307" s="35">
        <v>1899</v>
      </c>
      <c r="E307" s="33" t="str">
        <f>VLOOKUP(D307,[1]apoio_Preços_MGS!$A$6:$F$238,6,FALSE)</f>
        <v>ENCARREGADO GERAL - DIARISTA DIURNO</v>
      </c>
      <c r="F307" s="36">
        <f>IFERROR(VLOOKUP(D307,'[1]apoio_cód catmas'!$B$2:$C$863,2,FALSE),0)</f>
        <v>146269</v>
      </c>
      <c r="G307" s="33" t="str">
        <f>IF(H307="N/A",VLOOKUP(F307&amp;40,'[1]apoio_cód catmas'!$A$1:$G$233,4,FALSE),VLOOKUP(F307&amp;H307,'[1]apoio_cód catmas'!$A$1:$G$233,4,FALSE))</f>
        <v>ENCARREGADO GERAL - 40H OU 44H</v>
      </c>
      <c r="H307" s="36">
        <v>40</v>
      </c>
      <c r="I307" s="37">
        <v>0.05</v>
      </c>
      <c r="J307" s="38" t="s">
        <v>46</v>
      </c>
      <c r="K307" s="39">
        <f>13-K308</f>
        <v>3</v>
      </c>
      <c r="L307" s="39">
        <f>K307*60</f>
        <v>180</v>
      </c>
      <c r="M307" s="40">
        <f>VLOOKUP(D307,[1]apoio_Preços_MGS!$A$6:$AN$238,18,FALSE)</f>
        <v>3558.8949999999995</v>
      </c>
      <c r="N307" s="40">
        <f>VLOOKUP(D307,[1]apoio_Preços_MGS!$A$6:$AN$238,19,FALSE)</f>
        <v>0</v>
      </c>
      <c r="O307" s="40">
        <f>VLOOKUP(D307,[1]apoio_Preços_MGS!$A$6:$AN$238,20,FALSE)</f>
        <v>0</v>
      </c>
      <c r="P307" s="40">
        <f>VLOOKUP(D307,[1]apoio_Preços_MGS!$A$6:$AN$238,21,FALSE)</f>
        <v>0</v>
      </c>
      <c r="Q307" s="40">
        <f>VLOOKUP(D307,[1]apoio_Preços_MGS!$A$6:$AN$238,22,FALSE)</f>
        <v>0</v>
      </c>
      <c r="R307" s="40">
        <f>VLOOKUP(D307,[1]apoio_Preços_MGS!$A$6:$AN$238,23,FALSE)</f>
        <v>0</v>
      </c>
      <c r="S307" s="40">
        <f>VLOOKUP(D307,[1]apoio_Preços_MGS!$A$6:$AN$238,24,FALSE)</f>
        <v>0</v>
      </c>
      <c r="T307" s="40">
        <f>VLOOKUP(D307,[1]apoio_Preços_MGS!$A$6:$AN$238,25,FALSE)</f>
        <v>0</v>
      </c>
      <c r="U307" s="40">
        <f>SUM(M307:T307)</f>
        <v>3558.8949999999995</v>
      </c>
      <c r="V307" s="41">
        <f>VLOOKUP(D307,[1]apoio_Preços_MGS!$A$6:$AN$238,27,FALSE)</f>
        <v>0.81799999999999995</v>
      </c>
      <c r="W307" s="40">
        <f>U307*V307</f>
        <v>2911.1761099999994</v>
      </c>
      <c r="X307" s="40">
        <f>VLOOKUP(D307,[1]apoio_Preços_MGS!$A$6:$AN$238,29,FALSE)</f>
        <v>26.792727272727276</v>
      </c>
      <c r="Y307" s="40">
        <f>VLOOKUP(D307,[1]apoio_Preços_MGS!$A$6:$AN$238,30,FALSE)</f>
        <v>0</v>
      </c>
      <c r="Z307" s="40">
        <f t="shared" ref="Z307" si="147">Y307+X307</f>
        <v>26.792727272727276</v>
      </c>
      <c r="AA307" s="40">
        <f>VLOOKUP(D307,[1]apoio_Preços_MGS!$A$6:$AN$238,32,FALSE)</f>
        <v>6.8330783999999989</v>
      </c>
      <c r="AB307" s="40">
        <f>VLOOKUP(D307,[1]apoio_Preços_MGS!$A$6:$AN$238,33,FALSE)</f>
        <v>336.4636363636364</v>
      </c>
      <c r="AC307" s="41">
        <f>VLOOKUP(D307,[1]apoio_Preços_MGS!$A$6:$AN$238,34,FALSE)</f>
        <v>0</v>
      </c>
      <c r="AD307" s="40">
        <f>(U307+W307+Z307+AB307+AA307+VLOOKUP(C307,[1]apoio_Prec_Folha!$A:$S,7,FALSE))*AC307</f>
        <v>0</v>
      </c>
      <c r="AE307" s="42">
        <f>VLOOKUP(D307,[1]apoio_Preços_MGS!$A$6:$AN$238,36,FALSE)</f>
        <v>7.0000000000000007E-2</v>
      </c>
      <c r="AF307" s="40">
        <f>(U307+W307+Z307+AB307+AD307+AA307+VLOOKUP(C307,[1]apoio_Prec_Folha!$A:$S,7,FALSE))*AE307</f>
        <v>517.42183864254548</v>
      </c>
      <c r="AG307" s="40">
        <f t="shared" ref="AG307" si="148">TRUNC(U307+W307+Z307+AB307+AA307+AD307+AF307,2)</f>
        <v>7357.58</v>
      </c>
      <c r="AH307" s="43">
        <f t="shared" si="118"/>
        <v>8580.26</v>
      </c>
      <c r="AI307" s="43">
        <f t="shared" ref="AI307" si="149">AH307*K307</f>
        <v>25740.78</v>
      </c>
      <c r="AJ307" s="43">
        <f t="shared" ref="AJ307" si="150">AH307*L307</f>
        <v>1544446.8</v>
      </c>
      <c r="AK307" s="44">
        <f>VLOOKUP(D307,[1]apoio_Preços_MGS!$A$6:$AN$238,39,FALSE)</f>
        <v>181.81818181818184</v>
      </c>
      <c r="AL307" s="44">
        <f>IF(J307="demais municípios",VLOOKUP(D307,[1]apoio_Preços_MGS!$A$6:$AN$238,39,FALSE),0)</f>
        <v>181.81818181818184</v>
      </c>
      <c r="AM307" s="44">
        <v>0</v>
      </c>
      <c r="AN307" s="45">
        <f t="shared" si="143"/>
        <v>545.4545454545455</v>
      </c>
      <c r="AO307" s="44">
        <f>VLOOKUP(D307,[1]apoio_Preços_MGS!$A$6:$AN$238,40,FALSE)</f>
        <v>551.58000000000004</v>
      </c>
      <c r="AP307" s="44">
        <f>IF(J307="demais municípios",VLOOKUP(D307,[1]apoio_Preços_MGS!$A$6:$AN$238,40,FALSE),0)</f>
        <v>551.58000000000004</v>
      </c>
      <c r="AQ307" s="44">
        <v>0</v>
      </c>
      <c r="AR307" s="45">
        <f t="shared" si="144"/>
        <v>1654.7400000000002</v>
      </c>
      <c r="AS307" s="45">
        <f t="shared" si="127"/>
        <v>2200.1945454545457</v>
      </c>
      <c r="AT307" s="45">
        <f t="shared" si="128"/>
        <v>132011.67272727273</v>
      </c>
      <c r="AU307" s="62"/>
      <c r="AV307" s="46"/>
      <c r="AW307" s="47"/>
      <c r="AX307" s="48"/>
      <c r="AY307" s="49"/>
      <c r="BA307" s="48"/>
    </row>
    <row r="308" spans="1:53" ht="19.5" customHeight="1" x14ac:dyDescent="0.25">
      <c r="A308" s="33" t="str">
        <f t="shared" si="123"/>
        <v>146269400,05</v>
      </c>
      <c r="B308" s="33" t="str">
        <f t="shared" si="124"/>
        <v>18990,05</v>
      </c>
      <c r="C308" s="34" t="str">
        <f>VLOOKUP(D308,[1]apoio_Preços_MGS!$A$6:$B$238,2,FALSE)</f>
        <v>ENCARREGADO GERAL</v>
      </c>
      <c r="D308" s="35">
        <v>1899</v>
      </c>
      <c r="E308" s="33" t="str">
        <f>VLOOKUP(D308,[1]apoio_Preços_MGS!$A$6:$F$238,6,FALSE)</f>
        <v>ENCARREGADO GERAL - DIARISTA DIURNO</v>
      </c>
      <c r="F308" s="36">
        <f>IFERROR(VLOOKUP(D308,'[1]apoio_cód catmas'!$B$2:$C$863,2,FALSE),0)</f>
        <v>146269</v>
      </c>
      <c r="G308" s="33" t="str">
        <f>IF(H308="N/A",VLOOKUP(F308&amp;40,'[1]apoio_cód catmas'!$A$1:$G$233,4,FALSE),VLOOKUP(F308&amp;H308,'[1]apoio_cód catmas'!$A$1:$G$233,4,FALSE))</f>
        <v>ENCARREGADO GERAL - 40H OU 44H</v>
      </c>
      <c r="H308" s="36">
        <v>40</v>
      </c>
      <c r="I308" s="37">
        <v>0.05</v>
      </c>
      <c r="J308" s="38" t="s">
        <v>47</v>
      </c>
      <c r="K308" s="39">
        <v>10</v>
      </c>
      <c r="L308" s="39">
        <f>K308*60</f>
        <v>600</v>
      </c>
      <c r="M308" s="40">
        <f>VLOOKUP(D308,[1]apoio_Preços_MGS!$A$6:$AN$238,18,FALSE)</f>
        <v>3558.8949999999995</v>
      </c>
      <c r="N308" s="40">
        <f>VLOOKUP(D308,[1]apoio_Preços_MGS!$A$6:$AN$238,19,FALSE)</f>
        <v>0</v>
      </c>
      <c r="O308" s="40">
        <f>VLOOKUP(D308,[1]apoio_Preços_MGS!$A$6:$AN$238,20,FALSE)</f>
        <v>0</v>
      </c>
      <c r="P308" s="40">
        <f>VLOOKUP(D308,[1]apoio_Preços_MGS!$A$6:$AN$238,21,FALSE)</f>
        <v>0</v>
      </c>
      <c r="Q308" s="40">
        <f>VLOOKUP(D308,[1]apoio_Preços_MGS!$A$6:$AN$238,22,FALSE)</f>
        <v>0</v>
      </c>
      <c r="R308" s="40">
        <f>VLOOKUP(D308,[1]apoio_Preços_MGS!$A$6:$AN$238,23,FALSE)</f>
        <v>0</v>
      </c>
      <c r="S308" s="40">
        <f>VLOOKUP(D308,[1]apoio_Preços_MGS!$A$6:$AN$238,24,FALSE)</f>
        <v>0</v>
      </c>
      <c r="T308" s="40">
        <f>VLOOKUP(D308,[1]apoio_Preços_MGS!$A$6:$AN$238,25,FALSE)</f>
        <v>0</v>
      </c>
      <c r="U308" s="40">
        <f>SUM(M308:T308)</f>
        <v>3558.8949999999995</v>
      </c>
      <c r="V308" s="41">
        <f>VLOOKUP(D308,[1]apoio_Preços_MGS!$A$6:$AN$238,27,FALSE)</f>
        <v>0.81799999999999995</v>
      </c>
      <c r="W308" s="40">
        <f>U308*V308</f>
        <v>2911.1761099999994</v>
      </c>
      <c r="X308" s="40">
        <f>VLOOKUP(D308,[1]apoio_Preços_MGS!$A$6:$AN$238,29,FALSE)</f>
        <v>26.792727272727276</v>
      </c>
      <c r="Y308" s="40">
        <f>VLOOKUP(D308,[1]apoio_Preços_MGS!$A$6:$AN$238,30,FALSE)</f>
        <v>0</v>
      </c>
      <c r="Z308" s="40">
        <f>Y308+X308</f>
        <v>26.792727272727276</v>
      </c>
      <c r="AA308" s="40">
        <f>VLOOKUP(D308,[1]apoio_Preços_MGS!$A$6:$AN$238,32,FALSE)</f>
        <v>6.8330783999999989</v>
      </c>
      <c r="AB308" s="40">
        <f>VLOOKUP(D308,[1]apoio_Preços_MGS!$A$6:$AN$238,33,FALSE)</f>
        <v>336.4636363636364</v>
      </c>
      <c r="AC308" s="41">
        <f>VLOOKUP(D308,[1]apoio_Preços_MGS!$A$6:$AN$238,34,FALSE)</f>
        <v>0</v>
      </c>
      <c r="AD308" s="40">
        <f>(U308+W308+Z308+AB308+AA308+VLOOKUP(C308,[1]apoio_Prec_Folha!$A:$S,7,FALSE))*AC308</f>
        <v>0</v>
      </c>
      <c r="AE308" s="42">
        <f>VLOOKUP(D308,[1]apoio_Preços_MGS!$A$6:$AN$238,36,FALSE)</f>
        <v>7.0000000000000007E-2</v>
      </c>
      <c r="AF308" s="40">
        <f>(U308+W308+Z308+AB308+AD308+AA308+VLOOKUP(C308,[1]apoio_Prec_Folha!$A:$S,7,FALSE))*AE308</f>
        <v>517.42183864254548</v>
      </c>
      <c r="AG308" s="40">
        <f>TRUNC(U308+W308+Z308+AB308+AA308+AD308+AF308,2)</f>
        <v>7357.58</v>
      </c>
      <c r="AH308" s="43">
        <f t="shared" si="118"/>
        <v>8580.26</v>
      </c>
      <c r="AI308" s="43">
        <f>AH308*K308</f>
        <v>85802.6</v>
      </c>
      <c r="AJ308" s="43">
        <f>AH308*L308</f>
        <v>5148156</v>
      </c>
      <c r="AK308" s="44">
        <f>VLOOKUP(D308,[1]apoio_Preços_MGS!$A$6:$AN$238,39,FALSE)</f>
        <v>181.81818181818184</v>
      </c>
      <c r="AL308" s="44">
        <f>IF(J308="demais municípios",VLOOKUP(D308,[1]apoio_Preços_MGS!$A$6:$AN$238,39,FALSE),0)</f>
        <v>0</v>
      </c>
      <c r="AM308" s="44">
        <f>TRUNC(ROUND(($I308)/(1-($I308)),5)*VLOOKUP(D308,[1]apoio_Preços_MGS!$A$6:$AN$238,39,FALSE)+VLOOKUP(D308,[1]apoio_Preços_MGS!$A$6:$AN$238,39,FALSE),2)</f>
        <v>191.38</v>
      </c>
      <c r="AN308" s="45">
        <f t="shared" si="129"/>
        <v>1913.8</v>
      </c>
      <c r="AO308" s="44">
        <f>VLOOKUP(D308,[1]apoio_Preços_MGS!$A$6:$AN$238,40,FALSE)</f>
        <v>551.58000000000004</v>
      </c>
      <c r="AP308" s="44">
        <f>IF(J308="demais municípios",VLOOKUP(D308,[1]apoio_Preços_MGS!$A$6:$AN$238,40,FALSE),0)</f>
        <v>0</v>
      </c>
      <c r="AQ308" s="44">
        <f>TRUNC(ROUND(($I308)/(1-($I308)),5)*VLOOKUP(D308,[1]apoio_Preços_MGS!$A$6:$AN$238,40,FALSE)+VLOOKUP(D308,[1]apoio_Preços_MGS!$A$6:$AN$238,40,FALSE),2)</f>
        <v>580.6</v>
      </c>
      <c r="AR308" s="45">
        <f t="shared" si="130"/>
        <v>5806</v>
      </c>
      <c r="AS308" s="45">
        <f t="shared" si="127"/>
        <v>7719.8</v>
      </c>
      <c r="AT308" s="45">
        <f t="shared" si="128"/>
        <v>463188</v>
      </c>
      <c r="AU308" s="62"/>
      <c r="AV308" s="46"/>
      <c r="AW308" s="47"/>
      <c r="AX308" s="48"/>
      <c r="AY308" s="49"/>
      <c r="BA308" s="48"/>
    </row>
    <row r="309" spans="1:53" ht="19.5" customHeight="1" x14ac:dyDescent="0.25">
      <c r="A309" s="33" t="str">
        <f t="shared" si="123"/>
        <v>146277400,02</v>
      </c>
      <c r="B309" s="33" t="str">
        <f t="shared" si="124"/>
        <v>18980,02</v>
      </c>
      <c r="C309" s="34" t="str">
        <f>VLOOKUP(D309,[1]apoio_Preços_MGS!$A$6:$B$238,2,FALSE)</f>
        <v>ENCARREGADO DE CAMPO</v>
      </c>
      <c r="D309" s="35">
        <v>1898</v>
      </c>
      <c r="E309" s="33" t="str">
        <f>VLOOKUP(D309,[1]apoio_Preços_MGS!$A$6:$F$238,6,FALSE)</f>
        <v>ENCARREGADO DE CAMPO - DIARISTA DIURNO</v>
      </c>
      <c r="F309" s="36">
        <f>IFERROR(VLOOKUP(D309,'[1]apoio_cód catmas'!$B$2:$C$863,2,FALSE),0)</f>
        <v>146277</v>
      </c>
      <c r="G309" s="33" t="str">
        <f>IF(H309="N/A",VLOOKUP(F309&amp;40,'[1]apoio_cód catmas'!$A$1:$G$233,4,FALSE),VLOOKUP(F309&amp;H309,'[1]apoio_cód catmas'!$A$1:$G$233,4,FALSE))</f>
        <v>ENCARREGADO DE CAMPO - 40H OU 44H</v>
      </c>
      <c r="H309" s="36">
        <v>40</v>
      </c>
      <c r="I309" s="37">
        <v>0.02</v>
      </c>
      <c r="J309" s="38" t="s">
        <v>46</v>
      </c>
      <c r="K309" s="39">
        <v>11</v>
      </c>
      <c r="L309" s="39">
        <f>K309*60</f>
        <v>660</v>
      </c>
      <c r="M309" s="40">
        <f>VLOOKUP(D309,[1]apoio_Preços_MGS!$A$6:$AN$238,18,FALSE)</f>
        <v>2965.7637499999996</v>
      </c>
      <c r="N309" s="40">
        <f>VLOOKUP(D309,[1]apoio_Preços_MGS!$A$6:$AN$238,19,FALSE)</f>
        <v>0</v>
      </c>
      <c r="O309" s="40">
        <f>VLOOKUP(D309,[1]apoio_Preços_MGS!$A$6:$AN$238,20,FALSE)</f>
        <v>0</v>
      </c>
      <c r="P309" s="40">
        <f>VLOOKUP(D309,[1]apoio_Preços_MGS!$A$6:$AN$238,21,FALSE)</f>
        <v>0</v>
      </c>
      <c r="Q309" s="40">
        <f>VLOOKUP(D309,[1]apoio_Preços_MGS!$A$6:$AN$238,22,FALSE)</f>
        <v>0</v>
      </c>
      <c r="R309" s="40">
        <f>VLOOKUP(D309,[1]apoio_Preços_MGS!$A$6:$AN$238,23,FALSE)</f>
        <v>0</v>
      </c>
      <c r="S309" s="40">
        <f>VLOOKUP(D309,[1]apoio_Preços_MGS!$A$6:$AN$238,24,FALSE)</f>
        <v>0</v>
      </c>
      <c r="T309" s="40">
        <f>VLOOKUP(D309,[1]apoio_Preços_MGS!$A$6:$AN$238,25,FALSE)</f>
        <v>0</v>
      </c>
      <c r="U309" s="40">
        <f>SUM(M309:T309)</f>
        <v>2965.7637499999996</v>
      </c>
      <c r="V309" s="41">
        <f>VLOOKUP(D309,[1]apoio_Preços_MGS!$A$6:$AN$238,27,FALSE)</f>
        <v>0.81799999999999995</v>
      </c>
      <c r="W309" s="40">
        <f>U309*V309</f>
        <v>2425.9947474999994</v>
      </c>
      <c r="X309" s="40">
        <f>VLOOKUP(D309,[1]apoio_Preços_MGS!$A$6:$AN$238,29,FALSE)</f>
        <v>26.792727272727276</v>
      </c>
      <c r="Y309" s="40">
        <f>VLOOKUP(D309,[1]apoio_Preços_MGS!$A$6:$AN$238,30,FALSE)</f>
        <v>0</v>
      </c>
      <c r="Z309" s="40">
        <f>Y309+X309</f>
        <v>26.792727272727276</v>
      </c>
      <c r="AA309" s="40">
        <f>VLOOKUP(D309,[1]apoio_Preços_MGS!$A$6:$AN$238,32,FALSE)</f>
        <v>5.6942663999999992</v>
      </c>
      <c r="AB309" s="40">
        <f>VLOOKUP(D309,[1]apoio_Preços_MGS!$A$6:$AN$238,33,FALSE)</f>
        <v>372.0545454545454</v>
      </c>
      <c r="AC309" s="41">
        <f>VLOOKUP(D309,[1]apoio_Preços_MGS!$A$6:$AN$238,34,FALSE)</f>
        <v>0</v>
      </c>
      <c r="AD309" s="40">
        <f>(U309+W309+Z309+AB309+AA309+VLOOKUP(C309,[1]apoio_Prec_Folha!$A:$S,7,FALSE))*AC309</f>
        <v>0</v>
      </c>
      <c r="AE309" s="42">
        <f>VLOOKUP(D309,[1]apoio_Preços_MGS!$A$6:$AN$238,36,FALSE)</f>
        <v>7.0000000000000007E-2</v>
      </c>
      <c r="AF309" s="40">
        <f>(U309+W309+Z309+AB309+AD309+AA309+VLOOKUP(C309,[1]apoio_Prec_Folha!$A:$S,7,FALSE))*AE309</f>
        <v>444.35160256390907</v>
      </c>
      <c r="AG309" s="40">
        <f>TRUNC(U309+W309+Z309+AB309+AA309+AD309+AF309,2)</f>
        <v>6240.65</v>
      </c>
      <c r="AH309" s="43">
        <f t="shared" si="118"/>
        <v>7031.71</v>
      </c>
      <c r="AI309" s="43">
        <f>AH309*K309</f>
        <v>77348.81</v>
      </c>
      <c r="AJ309" s="43">
        <f>AH309*L309</f>
        <v>4640928.5999999996</v>
      </c>
      <c r="AK309" s="44">
        <f>VLOOKUP(D309,[1]apoio_Preços_MGS!$A$6:$AN$238,39,FALSE)</f>
        <v>181.81818181818184</v>
      </c>
      <c r="AL309" s="44">
        <f>IF(J309="demais municípios",VLOOKUP(D309,[1]apoio_Preços_MGS!$A$6:$AN$238,39,FALSE),0)</f>
        <v>181.81818181818184</v>
      </c>
      <c r="AM309" s="44">
        <v>0</v>
      </c>
      <c r="AN309" s="45">
        <f t="shared" ref="AN309:AN317" si="151">AK309*K309</f>
        <v>2000.0000000000002</v>
      </c>
      <c r="AO309" s="44">
        <f>VLOOKUP(D309,[1]apoio_Preços_MGS!$A$6:$AN$238,40,FALSE)</f>
        <v>551.58000000000004</v>
      </c>
      <c r="AP309" s="44">
        <f>IF(J309="demais municípios",VLOOKUP(D309,[1]apoio_Preços_MGS!$A$6:$AN$238,40,FALSE),0)</f>
        <v>551.58000000000004</v>
      </c>
      <c r="AQ309" s="44">
        <v>0</v>
      </c>
      <c r="AR309" s="45">
        <f t="shared" ref="AR309:AR317" si="152">AO309*K309</f>
        <v>6067.38</v>
      </c>
      <c r="AS309" s="45">
        <f t="shared" si="127"/>
        <v>8067.38</v>
      </c>
      <c r="AT309" s="45">
        <f t="shared" si="128"/>
        <v>484042.8</v>
      </c>
      <c r="AU309" s="62"/>
      <c r="AV309" s="46"/>
      <c r="AW309" s="47"/>
      <c r="AX309" s="48"/>
      <c r="AY309" s="49"/>
      <c r="BA309" s="48"/>
    </row>
    <row r="310" spans="1:53" ht="19.5" customHeight="1" x14ac:dyDescent="0.25">
      <c r="A310" s="33" t="str">
        <f t="shared" si="123"/>
        <v>146277400,02</v>
      </c>
      <c r="B310" s="33" t="str">
        <f t="shared" si="124"/>
        <v>18980,02</v>
      </c>
      <c r="C310" s="34" t="str">
        <f>VLOOKUP(D310,[1]apoio_Preços_MGS!$A$6:$B$238,2,FALSE)</f>
        <v>ENCARREGADO DE CAMPO</v>
      </c>
      <c r="D310" s="35">
        <v>1898</v>
      </c>
      <c r="E310" s="33" t="str">
        <f>VLOOKUP(D310,[1]apoio_Preços_MGS!$A$6:$F$238,6,FALSE)</f>
        <v>ENCARREGADO DE CAMPO - DIARISTA DIURNO</v>
      </c>
      <c r="F310" s="36">
        <f>IFERROR(VLOOKUP(D310,'[1]apoio_cód catmas'!$B$2:$C$863,2,FALSE),0)</f>
        <v>146277</v>
      </c>
      <c r="G310" s="33" t="str">
        <f>IF(H310="N/A",VLOOKUP(F310&amp;40,'[1]apoio_cód catmas'!$A$1:$G$233,4,FALSE),VLOOKUP(F310&amp;H310,'[1]apoio_cód catmas'!$A$1:$G$233,4,FALSE))</f>
        <v>ENCARREGADO DE CAMPO - 40H OU 44H</v>
      </c>
      <c r="H310" s="36">
        <v>40</v>
      </c>
      <c r="I310" s="37">
        <v>0.02</v>
      </c>
      <c r="J310" s="38" t="s">
        <v>46</v>
      </c>
      <c r="K310" s="39">
        <v>10</v>
      </c>
      <c r="L310" s="39">
        <f>K310*56</f>
        <v>560</v>
      </c>
      <c r="M310" s="40">
        <f>VLOOKUP(D310,[1]apoio_Preços_MGS!$A$6:$AN$238,18,FALSE)</f>
        <v>2965.7637499999996</v>
      </c>
      <c r="N310" s="40">
        <f>VLOOKUP(D310,[1]apoio_Preços_MGS!$A$6:$AN$238,19,FALSE)</f>
        <v>0</v>
      </c>
      <c r="O310" s="40">
        <f>VLOOKUP(D310,[1]apoio_Preços_MGS!$A$6:$AN$238,20,FALSE)</f>
        <v>0</v>
      </c>
      <c r="P310" s="40">
        <f>VLOOKUP(D310,[1]apoio_Preços_MGS!$A$6:$AN$238,21,FALSE)</f>
        <v>0</v>
      </c>
      <c r="Q310" s="40">
        <f>VLOOKUP(D310,[1]apoio_Preços_MGS!$A$6:$AN$238,22,FALSE)</f>
        <v>0</v>
      </c>
      <c r="R310" s="40">
        <f>VLOOKUP(D310,[1]apoio_Preços_MGS!$A$6:$AN$238,23,FALSE)</f>
        <v>0</v>
      </c>
      <c r="S310" s="40">
        <f>VLOOKUP(D310,[1]apoio_Preços_MGS!$A$6:$AN$238,24,FALSE)</f>
        <v>0</v>
      </c>
      <c r="T310" s="40">
        <f>VLOOKUP(D310,[1]apoio_Preços_MGS!$A$6:$AN$238,25,FALSE)</f>
        <v>0</v>
      </c>
      <c r="U310" s="40">
        <f t="shared" ref="U310" si="153">SUM(M310:T310)</f>
        <v>2965.7637499999996</v>
      </c>
      <c r="V310" s="41">
        <f>VLOOKUP(D310,[1]apoio_Preços_MGS!$A$6:$AN$238,27,FALSE)</f>
        <v>0.81799999999999995</v>
      </c>
      <c r="W310" s="40">
        <f t="shared" ref="W310" si="154">U310*V310</f>
        <v>2425.9947474999994</v>
      </c>
      <c r="X310" s="40">
        <f>VLOOKUP(D310,[1]apoio_Preços_MGS!$A$6:$AN$238,29,FALSE)</f>
        <v>26.792727272727276</v>
      </c>
      <c r="Y310" s="40">
        <f>VLOOKUP(D310,[1]apoio_Preços_MGS!$A$6:$AN$238,30,FALSE)</f>
        <v>0</v>
      </c>
      <c r="Z310" s="40">
        <f t="shared" ref="Z310" si="155">Y310+X310</f>
        <v>26.792727272727276</v>
      </c>
      <c r="AA310" s="40">
        <f>VLOOKUP(D310,[1]apoio_Preços_MGS!$A$6:$AN$238,32,FALSE)</f>
        <v>5.6942663999999992</v>
      </c>
      <c r="AB310" s="40">
        <f>VLOOKUP(D310,[1]apoio_Preços_MGS!$A$6:$AN$238,33,FALSE)</f>
        <v>372.0545454545454</v>
      </c>
      <c r="AC310" s="41">
        <f>VLOOKUP(D310,[1]apoio_Preços_MGS!$A$6:$AN$238,34,FALSE)</f>
        <v>0</v>
      </c>
      <c r="AD310" s="40">
        <f>(U310+W310+Z310+AB310+AA310+VLOOKUP(C310,[1]apoio_Prec_Folha!$A:$S,7,FALSE))*AC310</f>
        <v>0</v>
      </c>
      <c r="AE310" s="42">
        <f>VLOOKUP(D310,[1]apoio_Preços_MGS!$A$6:$AN$238,36,FALSE)</f>
        <v>7.0000000000000007E-2</v>
      </c>
      <c r="AF310" s="40">
        <f>(U310+W310+Z310+AB310+AD310+AA310+VLOOKUP(C310,[1]apoio_Prec_Folha!$A:$S,7,FALSE))*AE310</f>
        <v>444.35160256390907</v>
      </c>
      <c r="AG310" s="40">
        <f t="shared" ref="AG310" si="156">TRUNC(U310+W310+Z310+AB310+AA310+AD310+AF310,2)</f>
        <v>6240.65</v>
      </c>
      <c r="AH310" s="43">
        <f t="shared" si="118"/>
        <v>7031.71</v>
      </c>
      <c r="AI310" s="43">
        <f t="shared" ref="AI310" si="157">AH310*K310</f>
        <v>70317.100000000006</v>
      </c>
      <c r="AJ310" s="43">
        <f t="shared" ref="AJ310" si="158">AH310*L310</f>
        <v>3937757.6</v>
      </c>
      <c r="AK310" s="44">
        <f>VLOOKUP(D310,[1]apoio_Preços_MGS!$A$6:$AN$238,39,FALSE)</f>
        <v>181.81818181818184</v>
      </c>
      <c r="AL310" s="44">
        <f>IF(J310="demais municípios",VLOOKUP(D310,[1]apoio_Preços_MGS!$A$6:$AN$238,39,FALSE),0)</f>
        <v>181.81818181818184</v>
      </c>
      <c r="AM310" s="44">
        <v>0</v>
      </c>
      <c r="AN310" s="45">
        <f t="shared" si="151"/>
        <v>1818.1818181818185</v>
      </c>
      <c r="AO310" s="44">
        <f>VLOOKUP(D310,[1]apoio_Preços_MGS!$A$6:$AN$238,40,FALSE)</f>
        <v>551.58000000000004</v>
      </c>
      <c r="AP310" s="44">
        <f>IF(J310="demais municípios",VLOOKUP(D310,[1]apoio_Preços_MGS!$A$6:$AN$238,40,FALSE),0)</f>
        <v>551.58000000000004</v>
      </c>
      <c r="AQ310" s="44">
        <v>0</v>
      </c>
      <c r="AR310" s="45">
        <f t="shared" si="152"/>
        <v>5515.8</v>
      </c>
      <c r="AS310" s="45">
        <f t="shared" si="127"/>
        <v>7333.9818181818191</v>
      </c>
      <c r="AT310" s="45">
        <f t="shared" si="128"/>
        <v>440038.90909090918</v>
      </c>
      <c r="AU310" s="62"/>
      <c r="AV310" s="46"/>
      <c r="AW310" s="47"/>
      <c r="AX310" s="48"/>
      <c r="AY310" s="49"/>
      <c r="BA310" s="48"/>
    </row>
    <row r="311" spans="1:53" ht="19.5" customHeight="1" x14ac:dyDescent="0.25">
      <c r="A311" s="33" t="str">
        <f t="shared" si="123"/>
        <v>146277400,03</v>
      </c>
      <c r="B311" s="33" t="str">
        <f t="shared" si="124"/>
        <v>18980,03</v>
      </c>
      <c r="C311" s="34" t="str">
        <f>VLOOKUP(D311,[1]apoio_Preços_MGS!$A$6:$B$238,2,FALSE)</f>
        <v>ENCARREGADO DE CAMPO</v>
      </c>
      <c r="D311" s="35">
        <v>1898</v>
      </c>
      <c r="E311" s="33" t="str">
        <f>VLOOKUP(D311,[1]apoio_Preços_MGS!$A$6:$F$238,6,FALSE)</f>
        <v>ENCARREGADO DE CAMPO - DIARISTA DIURNO</v>
      </c>
      <c r="F311" s="36">
        <f>IFERROR(VLOOKUP(D311,'[1]apoio_cód catmas'!$B$2:$C$863,2,FALSE),0)</f>
        <v>146277</v>
      </c>
      <c r="G311" s="33" t="str">
        <f>IF(H311="N/A",VLOOKUP(F311&amp;40,'[1]apoio_cód catmas'!$A$1:$G$233,4,FALSE),VLOOKUP(F311&amp;H311,'[1]apoio_cód catmas'!$A$1:$G$233,4,FALSE))</f>
        <v>ENCARREGADO DE CAMPO - 40H OU 44H</v>
      </c>
      <c r="H311" s="36">
        <v>40</v>
      </c>
      <c r="I311" s="37">
        <v>0.03</v>
      </c>
      <c r="J311" s="38" t="s">
        <v>46</v>
      </c>
      <c r="K311" s="39">
        <v>28</v>
      </c>
      <c r="L311" s="39">
        <f>K311*60</f>
        <v>1680</v>
      </c>
      <c r="M311" s="40">
        <f>VLOOKUP(D311,[1]apoio_Preços_MGS!$A$6:$AN$238,18,FALSE)</f>
        <v>2965.7637499999996</v>
      </c>
      <c r="N311" s="40">
        <f>VLOOKUP(D311,[1]apoio_Preços_MGS!$A$6:$AN$238,19,FALSE)</f>
        <v>0</v>
      </c>
      <c r="O311" s="40">
        <f>VLOOKUP(D311,[1]apoio_Preços_MGS!$A$6:$AN$238,20,FALSE)</f>
        <v>0</v>
      </c>
      <c r="P311" s="40">
        <f>VLOOKUP(D311,[1]apoio_Preços_MGS!$A$6:$AN$238,21,FALSE)</f>
        <v>0</v>
      </c>
      <c r="Q311" s="40">
        <f>VLOOKUP(D311,[1]apoio_Preços_MGS!$A$6:$AN$238,22,FALSE)</f>
        <v>0</v>
      </c>
      <c r="R311" s="40">
        <f>VLOOKUP(D311,[1]apoio_Preços_MGS!$A$6:$AN$238,23,FALSE)</f>
        <v>0</v>
      </c>
      <c r="S311" s="40">
        <f>VLOOKUP(D311,[1]apoio_Preços_MGS!$A$6:$AN$238,24,FALSE)</f>
        <v>0</v>
      </c>
      <c r="T311" s="40">
        <f>VLOOKUP(D311,[1]apoio_Preços_MGS!$A$6:$AN$238,25,FALSE)</f>
        <v>0</v>
      </c>
      <c r="U311" s="40">
        <f>SUM(M311:T311)</f>
        <v>2965.7637499999996</v>
      </c>
      <c r="V311" s="41">
        <f>VLOOKUP(D311,[1]apoio_Preços_MGS!$A$6:$AN$238,27,FALSE)</f>
        <v>0.81799999999999995</v>
      </c>
      <c r="W311" s="40">
        <f>U311*V311</f>
        <v>2425.9947474999994</v>
      </c>
      <c r="X311" s="40">
        <f>VLOOKUP(D311,[1]apoio_Preços_MGS!$A$6:$AN$238,29,FALSE)</f>
        <v>26.792727272727276</v>
      </c>
      <c r="Y311" s="40">
        <f>VLOOKUP(D311,[1]apoio_Preços_MGS!$A$6:$AN$238,30,FALSE)</f>
        <v>0</v>
      </c>
      <c r="Z311" s="40">
        <f>Y311+X311</f>
        <v>26.792727272727276</v>
      </c>
      <c r="AA311" s="40">
        <f>VLOOKUP(D311,[1]apoio_Preços_MGS!$A$6:$AN$238,32,FALSE)</f>
        <v>5.6942663999999992</v>
      </c>
      <c r="AB311" s="40">
        <f>VLOOKUP(D311,[1]apoio_Preços_MGS!$A$6:$AN$238,33,FALSE)</f>
        <v>372.0545454545454</v>
      </c>
      <c r="AC311" s="41">
        <f>VLOOKUP(D311,[1]apoio_Preços_MGS!$A$6:$AN$238,34,FALSE)</f>
        <v>0</v>
      </c>
      <c r="AD311" s="40">
        <f>(U311+W311+Z311+AB311+AA311+VLOOKUP(C311,[1]apoio_Prec_Folha!$A:$S,7,FALSE))*AC311</f>
        <v>0</v>
      </c>
      <c r="AE311" s="42">
        <f>VLOOKUP(D311,[1]apoio_Preços_MGS!$A$6:$AN$238,36,FALSE)</f>
        <v>7.0000000000000007E-2</v>
      </c>
      <c r="AF311" s="40">
        <f>(U311+W311+Z311+AB311+AD311+AA311+VLOOKUP(C311,[1]apoio_Prec_Folha!$A:$S,7,FALSE))*AE311</f>
        <v>444.35160256390907</v>
      </c>
      <c r="AG311" s="40">
        <f>TRUNC(U311+W311+Z311+AB311+AA311+AD311+AF311,2)</f>
        <v>6240.65</v>
      </c>
      <c r="AH311" s="43">
        <f t="shared" si="118"/>
        <v>7111.84</v>
      </c>
      <c r="AI311" s="43">
        <f>AH311*K311</f>
        <v>199131.52000000002</v>
      </c>
      <c r="AJ311" s="43">
        <f>AH311*L311</f>
        <v>11947891.200000001</v>
      </c>
      <c r="AK311" s="44">
        <f>VLOOKUP(D311,[1]apoio_Preços_MGS!$A$6:$AN$238,39,FALSE)</f>
        <v>181.81818181818184</v>
      </c>
      <c r="AL311" s="44">
        <f>IF(J311="demais municípios",VLOOKUP(D311,[1]apoio_Preços_MGS!$A$6:$AN$238,39,FALSE),0)</f>
        <v>181.81818181818184</v>
      </c>
      <c r="AM311" s="44">
        <v>0</v>
      </c>
      <c r="AN311" s="45">
        <f t="shared" si="151"/>
        <v>5090.9090909090919</v>
      </c>
      <c r="AO311" s="44">
        <f>VLOOKUP(D311,[1]apoio_Preços_MGS!$A$6:$AN$238,40,FALSE)</f>
        <v>551.58000000000004</v>
      </c>
      <c r="AP311" s="44">
        <f>IF(J311="demais municípios",VLOOKUP(D311,[1]apoio_Preços_MGS!$A$6:$AN$238,40,FALSE),0)</f>
        <v>551.58000000000004</v>
      </c>
      <c r="AQ311" s="44">
        <v>0</v>
      </c>
      <c r="AR311" s="45">
        <f t="shared" si="152"/>
        <v>15444.240000000002</v>
      </c>
      <c r="AS311" s="45">
        <f t="shared" si="127"/>
        <v>20535.149090909094</v>
      </c>
      <c r="AT311" s="45">
        <f t="shared" si="128"/>
        <v>1232108.9454545456</v>
      </c>
      <c r="AU311" s="62"/>
      <c r="AV311" s="46"/>
      <c r="AW311" s="47"/>
      <c r="AX311" s="48"/>
      <c r="AY311" s="49"/>
      <c r="BA311" s="48"/>
    </row>
    <row r="312" spans="1:53" ht="19.5" customHeight="1" x14ac:dyDescent="0.25">
      <c r="A312" s="33" t="str">
        <f t="shared" si="123"/>
        <v>146277400,03</v>
      </c>
      <c r="B312" s="33" t="str">
        <f t="shared" si="124"/>
        <v>18980,03</v>
      </c>
      <c r="C312" s="34" t="str">
        <f>VLOOKUP(D312,[1]apoio_Preços_MGS!$A$6:$B$238,2,FALSE)</f>
        <v>ENCARREGADO DE CAMPO</v>
      </c>
      <c r="D312" s="35">
        <v>1898</v>
      </c>
      <c r="E312" s="33" t="str">
        <f>VLOOKUP(D312,[1]apoio_Preços_MGS!$A$6:$F$238,6,FALSE)</f>
        <v>ENCARREGADO DE CAMPO - DIARISTA DIURNO</v>
      </c>
      <c r="F312" s="36">
        <f>IFERROR(VLOOKUP(D312,'[1]apoio_cód catmas'!$B$2:$C$863,2,FALSE),0)</f>
        <v>146277</v>
      </c>
      <c r="G312" s="33" t="str">
        <f>IF(H312="N/A",VLOOKUP(F312&amp;40,'[1]apoio_cód catmas'!$A$1:$G$233,4,FALSE),VLOOKUP(F312&amp;H312,'[1]apoio_cód catmas'!$A$1:$G$233,4,FALSE))</f>
        <v>ENCARREGADO DE CAMPO - 40H OU 44H</v>
      </c>
      <c r="H312" s="36">
        <v>40</v>
      </c>
      <c r="I312" s="37">
        <v>0.03</v>
      </c>
      <c r="J312" s="38" t="s">
        <v>46</v>
      </c>
      <c r="K312" s="39">
        <v>3</v>
      </c>
      <c r="L312" s="39">
        <f>K312*56</f>
        <v>168</v>
      </c>
      <c r="M312" s="40">
        <f>VLOOKUP(D312,[1]apoio_Preços_MGS!$A$6:$AN$238,18,FALSE)</f>
        <v>2965.7637499999996</v>
      </c>
      <c r="N312" s="40">
        <f>VLOOKUP(D312,[1]apoio_Preços_MGS!$A$6:$AN$238,19,FALSE)</f>
        <v>0</v>
      </c>
      <c r="O312" s="40">
        <f>VLOOKUP(D312,[1]apoio_Preços_MGS!$A$6:$AN$238,20,FALSE)</f>
        <v>0</v>
      </c>
      <c r="P312" s="40">
        <f>VLOOKUP(D312,[1]apoio_Preços_MGS!$A$6:$AN$238,21,FALSE)</f>
        <v>0</v>
      </c>
      <c r="Q312" s="40">
        <f>VLOOKUP(D312,[1]apoio_Preços_MGS!$A$6:$AN$238,22,FALSE)</f>
        <v>0</v>
      </c>
      <c r="R312" s="40">
        <f>VLOOKUP(D312,[1]apoio_Preços_MGS!$A$6:$AN$238,23,FALSE)</f>
        <v>0</v>
      </c>
      <c r="S312" s="40">
        <f>VLOOKUP(D312,[1]apoio_Preços_MGS!$A$6:$AN$238,24,FALSE)</f>
        <v>0</v>
      </c>
      <c r="T312" s="40">
        <f>VLOOKUP(D312,[1]apoio_Preços_MGS!$A$6:$AN$238,25,FALSE)</f>
        <v>0</v>
      </c>
      <c r="U312" s="40">
        <f t="shared" ref="U312" si="159">SUM(M312:T312)</f>
        <v>2965.7637499999996</v>
      </c>
      <c r="V312" s="41">
        <f>VLOOKUP(D312,[1]apoio_Preços_MGS!$A$6:$AN$238,27,FALSE)</f>
        <v>0.81799999999999995</v>
      </c>
      <c r="W312" s="40">
        <f t="shared" ref="W312" si="160">U312*V312</f>
        <v>2425.9947474999994</v>
      </c>
      <c r="X312" s="40">
        <f>VLOOKUP(D312,[1]apoio_Preços_MGS!$A$6:$AN$238,29,FALSE)</f>
        <v>26.792727272727276</v>
      </c>
      <c r="Y312" s="40">
        <f>VLOOKUP(D312,[1]apoio_Preços_MGS!$A$6:$AN$238,30,FALSE)</f>
        <v>0</v>
      </c>
      <c r="Z312" s="40">
        <f t="shared" ref="Z312" si="161">Y312+X312</f>
        <v>26.792727272727276</v>
      </c>
      <c r="AA312" s="40">
        <f>VLOOKUP(D312,[1]apoio_Preços_MGS!$A$6:$AN$238,32,FALSE)</f>
        <v>5.6942663999999992</v>
      </c>
      <c r="AB312" s="40">
        <f>VLOOKUP(D312,[1]apoio_Preços_MGS!$A$6:$AN$238,33,FALSE)</f>
        <v>372.0545454545454</v>
      </c>
      <c r="AC312" s="41">
        <f>VLOOKUP(D312,[1]apoio_Preços_MGS!$A$6:$AN$238,34,FALSE)</f>
        <v>0</v>
      </c>
      <c r="AD312" s="40">
        <f>(U312+W312+Z312+AB312+AA312+VLOOKUP(C312,[1]apoio_Prec_Folha!$A:$S,7,FALSE))*AC312</f>
        <v>0</v>
      </c>
      <c r="AE312" s="42">
        <f>VLOOKUP(D312,[1]apoio_Preços_MGS!$A$6:$AN$238,36,FALSE)</f>
        <v>7.0000000000000007E-2</v>
      </c>
      <c r="AF312" s="40">
        <f>(U312+W312+Z312+AB312+AD312+AA312+VLOOKUP(C312,[1]apoio_Prec_Folha!$A:$S,7,FALSE))*AE312</f>
        <v>444.35160256390907</v>
      </c>
      <c r="AG312" s="40">
        <f t="shared" ref="AG312" si="162">TRUNC(U312+W312+Z312+AB312+AA312+AD312+AF312,2)</f>
        <v>6240.65</v>
      </c>
      <c r="AH312" s="43">
        <f t="shared" si="118"/>
        <v>7111.84</v>
      </c>
      <c r="AI312" s="43">
        <f t="shared" ref="AI312" si="163">AH312*K312</f>
        <v>21335.52</v>
      </c>
      <c r="AJ312" s="43">
        <f t="shared" ref="AJ312" si="164">AH312*L312</f>
        <v>1194789.1200000001</v>
      </c>
      <c r="AK312" s="44">
        <f>VLOOKUP(D312,[1]apoio_Preços_MGS!$A$6:$AN$238,39,FALSE)</f>
        <v>181.81818181818184</v>
      </c>
      <c r="AL312" s="44">
        <f>IF(J312="demais municípios",VLOOKUP(D312,[1]apoio_Preços_MGS!$A$6:$AN$238,39,FALSE),0)</f>
        <v>181.81818181818184</v>
      </c>
      <c r="AM312" s="44">
        <v>0</v>
      </c>
      <c r="AN312" s="45">
        <f t="shared" si="151"/>
        <v>545.4545454545455</v>
      </c>
      <c r="AO312" s="44">
        <f>VLOOKUP(D312,[1]apoio_Preços_MGS!$A$6:$AN$238,40,FALSE)</f>
        <v>551.58000000000004</v>
      </c>
      <c r="AP312" s="44">
        <f>IF(J312="demais municípios",VLOOKUP(D312,[1]apoio_Preços_MGS!$A$6:$AN$238,40,FALSE),0)</f>
        <v>551.58000000000004</v>
      </c>
      <c r="AQ312" s="44">
        <v>0</v>
      </c>
      <c r="AR312" s="45">
        <f t="shared" si="152"/>
        <v>1654.7400000000002</v>
      </c>
      <c r="AS312" s="45">
        <f t="shared" si="127"/>
        <v>2200.1945454545457</v>
      </c>
      <c r="AT312" s="45">
        <f t="shared" si="128"/>
        <v>132011.67272727273</v>
      </c>
      <c r="AU312" s="62"/>
      <c r="AV312" s="46"/>
      <c r="AW312" s="47"/>
      <c r="AX312" s="48"/>
      <c r="AY312" s="49"/>
      <c r="BA312" s="48"/>
    </row>
    <row r="313" spans="1:53" ht="19.5" customHeight="1" x14ac:dyDescent="0.25">
      <c r="A313" s="33" t="str">
        <f t="shared" si="123"/>
        <v>146277400,035</v>
      </c>
      <c r="B313" s="33" t="str">
        <f t="shared" si="124"/>
        <v>18980,035</v>
      </c>
      <c r="C313" s="34" t="str">
        <f>VLOOKUP(D313,[1]apoio_Preços_MGS!$A$6:$B$238,2,FALSE)</f>
        <v>ENCARREGADO DE CAMPO</v>
      </c>
      <c r="D313" s="35">
        <v>1898</v>
      </c>
      <c r="E313" s="33" t="str">
        <f>VLOOKUP(D313,[1]apoio_Preços_MGS!$A$6:$F$238,6,FALSE)</f>
        <v>ENCARREGADO DE CAMPO - DIARISTA DIURNO</v>
      </c>
      <c r="F313" s="36">
        <f>IFERROR(VLOOKUP(D313,'[1]apoio_cód catmas'!$B$2:$C$863,2,FALSE),0)</f>
        <v>146277</v>
      </c>
      <c r="G313" s="33" t="str">
        <f>IF(H313="N/A",VLOOKUP(F313&amp;40,'[1]apoio_cód catmas'!$A$1:$G$233,4,FALSE),VLOOKUP(F313&amp;H313,'[1]apoio_cód catmas'!$A$1:$G$233,4,FALSE))</f>
        <v>ENCARREGADO DE CAMPO - 40H OU 44H</v>
      </c>
      <c r="H313" s="36">
        <v>40</v>
      </c>
      <c r="I313" s="37">
        <v>3.5000000000000003E-2</v>
      </c>
      <c r="J313" s="38" t="s">
        <v>46</v>
      </c>
      <c r="K313" s="39">
        <v>4</v>
      </c>
      <c r="L313" s="39">
        <f>K313*60</f>
        <v>240</v>
      </c>
      <c r="M313" s="40">
        <f>VLOOKUP(D313,[1]apoio_Preços_MGS!$A$6:$AN$238,18,FALSE)</f>
        <v>2965.7637499999996</v>
      </c>
      <c r="N313" s="40">
        <f>VLOOKUP(D313,[1]apoio_Preços_MGS!$A$6:$AN$238,19,FALSE)</f>
        <v>0</v>
      </c>
      <c r="O313" s="40">
        <f>VLOOKUP(D313,[1]apoio_Preços_MGS!$A$6:$AN$238,20,FALSE)</f>
        <v>0</v>
      </c>
      <c r="P313" s="40">
        <f>VLOOKUP(D313,[1]apoio_Preços_MGS!$A$6:$AN$238,21,FALSE)</f>
        <v>0</v>
      </c>
      <c r="Q313" s="40">
        <f>VLOOKUP(D313,[1]apoio_Preços_MGS!$A$6:$AN$238,22,FALSE)</f>
        <v>0</v>
      </c>
      <c r="R313" s="40">
        <f>VLOOKUP(D313,[1]apoio_Preços_MGS!$A$6:$AN$238,23,FALSE)</f>
        <v>0</v>
      </c>
      <c r="S313" s="40">
        <f>VLOOKUP(D313,[1]apoio_Preços_MGS!$A$6:$AN$238,24,FALSE)</f>
        <v>0</v>
      </c>
      <c r="T313" s="40">
        <f>VLOOKUP(D313,[1]apoio_Preços_MGS!$A$6:$AN$238,25,FALSE)</f>
        <v>0</v>
      </c>
      <c r="U313" s="40">
        <f>SUM(M313:T313)</f>
        <v>2965.7637499999996</v>
      </c>
      <c r="V313" s="41">
        <f>VLOOKUP(D313,[1]apoio_Preços_MGS!$A$6:$AN$238,27,FALSE)</f>
        <v>0.81799999999999995</v>
      </c>
      <c r="W313" s="40">
        <f>U313*V313</f>
        <v>2425.9947474999994</v>
      </c>
      <c r="X313" s="40">
        <f>VLOOKUP(D313,[1]apoio_Preços_MGS!$A$6:$AN$238,29,FALSE)</f>
        <v>26.792727272727276</v>
      </c>
      <c r="Y313" s="40">
        <f>VLOOKUP(D313,[1]apoio_Preços_MGS!$A$6:$AN$238,30,FALSE)</f>
        <v>0</v>
      </c>
      <c r="Z313" s="40">
        <f>Y313+X313</f>
        <v>26.792727272727276</v>
      </c>
      <c r="AA313" s="40">
        <f>VLOOKUP(D313,[1]apoio_Preços_MGS!$A$6:$AN$238,32,FALSE)</f>
        <v>5.6942663999999992</v>
      </c>
      <c r="AB313" s="40">
        <f>VLOOKUP(D313,[1]apoio_Preços_MGS!$A$6:$AN$238,33,FALSE)</f>
        <v>372.0545454545454</v>
      </c>
      <c r="AC313" s="41">
        <f>VLOOKUP(D313,[1]apoio_Preços_MGS!$A$6:$AN$238,34,FALSE)</f>
        <v>0</v>
      </c>
      <c r="AD313" s="40">
        <f>(U313+W313+Z313+AB313+AA313+VLOOKUP(C313,[1]apoio_Prec_Folha!$A:$S,7,FALSE))*AC313</f>
        <v>0</v>
      </c>
      <c r="AE313" s="42">
        <f>VLOOKUP(D313,[1]apoio_Preços_MGS!$A$6:$AN$238,36,FALSE)</f>
        <v>7.0000000000000007E-2</v>
      </c>
      <c r="AF313" s="40">
        <f>(U313+W313+Z313+AB313+AD313+AA313+VLOOKUP(C313,[1]apoio_Prec_Folha!$A:$S,7,FALSE))*AE313</f>
        <v>444.35160256390907</v>
      </c>
      <c r="AG313" s="40">
        <f>TRUNC(U313+W313+Z313+AB313+AA313+AD313+AF313,2)</f>
        <v>6240.65</v>
      </c>
      <c r="AH313" s="43">
        <f t="shared" si="118"/>
        <v>7152.59</v>
      </c>
      <c r="AI313" s="43">
        <f>AH313*K313</f>
        <v>28610.36</v>
      </c>
      <c r="AJ313" s="43">
        <f>AH313*L313</f>
        <v>1716621.6</v>
      </c>
      <c r="AK313" s="44">
        <f>VLOOKUP(D313,[1]apoio_Preços_MGS!$A$6:$AN$238,39,FALSE)</f>
        <v>181.81818181818184</v>
      </c>
      <c r="AL313" s="44">
        <f>IF(J313="demais municípios",VLOOKUP(D313,[1]apoio_Preços_MGS!$A$6:$AN$238,39,FALSE),0)</f>
        <v>181.81818181818184</v>
      </c>
      <c r="AM313" s="44">
        <v>0</v>
      </c>
      <c r="AN313" s="45">
        <f t="shared" si="151"/>
        <v>727.27272727272737</v>
      </c>
      <c r="AO313" s="44">
        <f>VLOOKUP(D313,[1]apoio_Preços_MGS!$A$6:$AN$238,40,FALSE)</f>
        <v>551.58000000000004</v>
      </c>
      <c r="AP313" s="44">
        <f>IF(J313="demais municípios",VLOOKUP(D313,[1]apoio_Preços_MGS!$A$6:$AN$238,40,FALSE),0)</f>
        <v>551.58000000000004</v>
      </c>
      <c r="AQ313" s="44">
        <v>0</v>
      </c>
      <c r="AR313" s="45">
        <f t="shared" si="152"/>
        <v>2206.3200000000002</v>
      </c>
      <c r="AS313" s="45">
        <f t="shared" si="127"/>
        <v>2933.5927272727276</v>
      </c>
      <c r="AT313" s="45">
        <f t="shared" si="128"/>
        <v>176015.56363636366</v>
      </c>
      <c r="AU313" s="62"/>
      <c r="AV313" s="46"/>
      <c r="AW313" s="47"/>
      <c r="AX313" s="48"/>
      <c r="AY313" s="49"/>
      <c r="BA313" s="48"/>
    </row>
    <row r="314" spans="1:53" ht="19.5" customHeight="1" x14ac:dyDescent="0.25">
      <c r="A314" s="33" t="str">
        <f t="shared" si="123"/>
        <v>146277400,038</v>
      </c>
      <c r="B314" s="33" t="str">
        <f t="shared" si="124"/>
        <v>18980,038</v>
      </c>
      <c r="C314" s="34" t="str">
        <f>VLOOKUP(D314,[1]apoio_Preços_MGS!$A$6:$B$238,2,FALSE)</f>
        <v>ENCARREGADO DE CAMPO</v>
      </c>
      <c r="D314" s="35">
        <v>1898</v>
      </c>
      <c r="E314" s="33" t="str">
        <f>VLOOKUP(D314,[1]apoio_Preços_MGS!$A$6:$F$238,6,FALSE)</f>
        <v>ENCARREGADO DE CAMPO - DIARISTA DIURNO</v>
      </c>
      <c r="F314" s="36">
        <f>IFERROR(VLOOKUP(D314,'[1]apoio_cód catmas'!$B$2:$C$863,2,FALSE),0)</f>
        <v>146277</v>
      </c>
      <c r="G314" s="33" t="str">
        <f>IF(H314="N/A",VLOOKUP(F314&amp;40,'[1]apoio_cód catmas'!$A$1:$G$233,4,FALSE),VLOOKUP(F314&amp;H314,'[1]apoio_cód catmas'!$A$1:$G$233,4,FALSE))</f>
        <v>ENCARREGADO DE CAMPO - 40H OU 44H</v>
      </c>
      <c r="H314" s="36">
        <v>40</v>
      </c>
      <c r="I314" s="37">
        <v>3.7999999999999999E-2</v>
      </c>
      <c r="J314" s="38" t="s">
        <v>46</v>
      </c>
      <c r="K314" s="39">
        <v>1</v>
      </c>
      <c r="L314" s="39">
        <f>K314*56</f>
        <v>56</v>
      </c>
      <c r="M314" s="40">
        <f>VLOOKUP(D314,[1]apoio_Preços_MGS!$A$6:$AN$238,18,FALSE)</f>
        <v>2965.7637499999996</v>
      </c>
      <c r="N314" s="40">
        <f>VLOOKUP(D314,[1]apoio_Preços_MGS!$A$6:$AN$238,19,FALSE)</f>
        <v>0</v>
      </c>
      <c r="O314" s="40">
        <f>VLOOKUP(D314,[1]apoio_Preços_MGS!$A$6:$AN$238,20,FALSE)</f>
        <v>0</v>
      </c>
      <c r="P314" s="40">
        <f>VLOOKUP(D314,[1]apoio_Preços_MGS!$A$6:$AN$238,21,FALSE)</f>
        <v>0</v>
      </c>
      <c r="Q314" s="40">
        <f>VLOOKUP(D314,[1]apoio_Preços_MGS!$A$6:$AN$238,22,FALSE)</f>
        <v>0</v>
      </c>
      <c r="R314" s="40">
        <f>VLOOKUP(D314,[1]apoio_Preços_MGS!$A$6:$AN$238,23,FALSE)</f>
        <v>0</v>
      </c>
      <c r="S314" s="40">
        <f>VLOOKUP(D314,[1]apoio_Preços_MGS!$A$6:$AN$238,24,FALSE)</f>
        <v>0</v>
      </c>
      <c r="T314" s="40">
        <f>VLOOKUP(D314,[1]apoio_Preços_MGS!$A$6:$AN$238,25,FALSE)</f>
        <v>0</v>
      </c>
      <c r="U314" s="40">
        <f t="shared" ref="U314" si="165">SUM(M314:T314)</f>
        <v>2965.7637499999996</v>
      </c>
      <c r="V314" s="41">
        <f>VLOOKUP(D314,[1]apoio_Preços_MGS!$A$6:$AN$238,27,FALSE)</f>
        <v>0.81799999999999995</v>
      </c>
      <c r="W314" s="40">
        <f t="shared" ref="W314" si="166">U314*V314</f>
        <v>2425.9947474999994</v>
      </c>
      <c r="X314" s="40">
        <f>VLOOKUP(D314,[1]apoio_Preços_MGS!$A$6:$AN$238,29,FALSE)</f>
        <v>26.792727272727276</v>
      </c>
      <c r="Y314" s="40">
        <f>VLOOKUP(D314,[1]apoio_Preços_MGS!$A$6:$AN$238,30,FALSE)</f>
        <v>0</v>
      </c>
      <c r="Z314" s="40">
        <f t="shared" ref="Z314" si="167">Y314+X314</f>
        <v>26.792727272727276</v>
      </c>
      <c r="AA314" s="40">
        <f>VLOOKUP(D314,[1]apoio_Preços_MGS!$A$6:$AN$238,32,FALSE)</f>
        <v>5.6942663999999992</v>
      </c>
      <c r="AB314" s="40">
        <f>VLOOKUP(D314,[1]apoio_Preços_MGS!$A$6:$AN$238,33,FALSE)</f>
        <v>372.0545454545454</v>
      </c>
      <c r="AC314" s="41">
        <f>VLOOKUP(D314,[1]apoio_Preços_MGS!$A$6:$AN$238,34,FALSE)</f>
        <v>0</v>
      </c>
      <c r="AD314" s="40">
        <f>(U314+W314+Z314+AB314+AA314+VLOOKUP(C314,[1]apoio_Prec_Folha!$A:$S,7,FALSE))*AC314</f>
        <v>0</v>
      </c>
      <c r="AE314" s="42">
        <f>VLOOKUP(D314,[1]apoio_Preços_MGS!$A$6:$AN$238,36,FALSE)</f>
        <v>7.0000000000000007E-2</v>
      </c>
      <c r="AF314" s="40">
        <f>(U314+W314+Z314+AB314+AD314+AA314+VLOOKUP(C314,[1]apoio_Prec_Folha!$A:$S,7,FALSE))*AE314</f>
        <v>444.35160256390907</v>
      </c>
      <c r="AG314" s="40">
        <f t="shared" ref="AG314" si="168">TRUNC(U314+W314+Z314+AB314+AA314+AD314+AF314,2)</f>
        <v>6240.65</v>
      </c>
      <c r="AH314" s="43">
        <f t="shared" si="118"/>
        <v>7177.3</v>
      </c>
      <c r="AI314" s="43">
        <f t="shared" ref="AI314" si="169">AH314*K314</f>
        <v>7177.3</v>
      </c>
      <c r="AJ314" s="43">
        <f t="shared" ref="AJ314" si="170">AH314*L314</f>
        <v>401928.8</v>
      </c>
      <c r="AK314" s="44">
        <f>VLOOKUP(D314,[1]apoio_Preços_MGS!$A$6:$AN$238,39,FALSE)</f>
        <v>181.81818181818184</v>
      </c>
      <c r="AL314" s="44">
        <f>IF(J314="demais municípios",VLOOKUP(D314,[1]apoio_Preços_MGS!$A$6:$AN$238,39,FALSE),0)</f>
        <v>181.81818181818184</v>
      </c>
      <c r="AM314" s="44">
        <v>0</v>
      </c>
      <c r="AN314" s="45">
        <f t="shared" si="151"/>
        <v>181.81818181818184</v>
      </c>
      <c r="AO314" s="44">
        <f>VLOOKUP(D314,[1]apoio_Preços_MGS!$A$6:$AN$238,40,FALSE)</f>
        <v>551.58000000000004</v>
      </c>
      <c r="AP314" s="44">
        <f>IF(J314="demais municípios",VLOOKUP(D314,[1]apoio_Preços_MGS!$A$6:$AN$238,40,FALSE),0)</f>
        <v>551.58000000000004</v>
      </c>
      <c r="AQ314" s="44">
        <v>0</v>
      </c>
      <c r="AR314" s="45">
        <f t="shared" si="152"/>
        <v>551.58000000000004</v>
      </c>
      <c r="AS314" s="45">
        <f t="shared" si="127"/>
        <v>733.39818181818191</v>
      </c>
      <c r="AT314" s="45">
        <f t="shared" si="128"/>
        <v>44003.890909090915</v>
      </c>
      <c r="AU314" s="62"/>
      <c r="AV314" s="46"/>
      <c r="AW314" s="47"/>
      <c r="AX314" s="48"/>
      <c r="AY314" s="49"/>
      <c r="BA314" s="48"/>
    </row>
    <row r="315" spans="1:53" ht="19.5" customHeight="1" x14ac:dyDescent="0.25">
      <c r="A315" s="33" t="str">
        <f t="shared" si="123"/>
        <v>146277400,04</v>
      </c>
      <c r="B315" s="33" t="str">
        <f t="shared" si="124"/>
        <v>18980,04</v>
      </c>
      <c r="C315" s="34" t="str">
        <f>VLOOKUP(D315,[1]apoio_Preços_MGS!$A$6:$B$238,2,FALSE)</f>
        <v>ENCARREGADO DE CAMPO</v>
      </c>
      <c r="D315" s="35">
        <v>1898</v>
      </c>
      <c r="E315" s="33" t="str">
        <f>VLOOKUP(D315,[1]apoio_Preços_MGS!$A$6:$F$238,6,FALSE)</f>
        <v>ENCARREGADO DE CAMPO - DIARISTA DIURNO</v>
      </c>
      <c r="F315" s="36">
        <f>IFERROR(VLOOKUP(D315,'[1]apoio_cód catmas'!$B$2:$C$863,2,FALSE),0)</f>
        <v>146277</v>
      </c>
      <c r="G315" s="33" t="str">
        <f>IF(H315="N/A",VLOOKUP(F315&amp;40,'[1]apoio_cód catmas'!$A$1:$G$233,4,FALSE),VLOOKUP(F315&amp;H315,'[1]apoio_cód catmas'!$A$1:$G$233,4,FALSE))</f>
        <v>ENCARREGADO DE CAMPO - 40H OU 44H</v>
      </c>
      <c r="H315" s="36">
        <v>40</v>
      </c>
      <c r="I315" s="37">
        <v>0.04</v>
      </c>
      <c r="J315" s="38" t="s">
        <v>46</v>
      </c>
      <c r="K315" s="39">
        <v>5</v>
      </c>
      <c r="L315" s="39">
        <f>K315*60</f>
        <v>300</v>
      </c>
      <c r="M315" s="40">
        <f>VLOOKUP(D315,[1]apoio_Preços_MGS!$A$6:$AN$238,18,FALSE)</f>
        <v>2965.7637499999996</v>
      </c>
      <c r="N315" s="40">
        <f>VLOOKUP(D315,[1]apoio_Preços_MGS!$A$6:$AN$238,19,FALSE)</f>
        <v>0</v>
      </c>
      <c r="O315" s="40">
        <f>VLOOKUP(D315,[1]apoio_Preços_MGS!$A$6:$AN$238,20,FALSE)</f>
        <v>0</v>
      </c>
      <c r="P315" s="40">
        <f>VLOOKUP(D315,[1]apoio_Preços_MGS!$A$6:$AN$238,21,FALSE)</f>
        <v>0</v>
      </c>
      <c r="Q315" s="40">
        <f>VLOOKUP(D315,[1]apoio_Preços_MGS!$A$6:$AN$238,22,FALSE)</f>
        <v>0</v>
      </c>
      <c r="R315" s="40">
        <f>VLOOKUP(D315,[1]apoio_Preços_MGS!$A$6:$AN$238,23,FALSE)</f>
        <v>0</v>
      </c>
      <c r="S315" s="40">
        <f>VLOOKUP(D315,[1]apoio_Preços_MGS!$A$6:$AN$238,24,FALSE)</f>
        <v>0</v>
      </c>
      <c r="T315" s="40">
        <f>VLOOKUP(D315,[1]apoio_Preços_MGS!$A$6:$AN$238,25,FALSE)</f>
        <v>0</v>
      </c>
      <c r="U315" s="40">
        <f>SUM(M315:T315)</f>
        <v>2965.7637499999996</v>
      </c>
      <c r="V315" s="41">
        <f>VLOOKUP(D315,[1]apoio_Preços_MGS!$A$6:$AN$238,27,FALSE)</f>
        <v>0.81799999999999995</v>
      </c>
      <c r="W315" s="40">
        <f>U315*V315</f>
        <v>2425.9947474999994</v>
      </c>
      <c r="X315" s="40">
        <f>VLOOKUP(D315,[1]apoio_Preços_MGS!$A$6:$AN$238,29,FALSE)</f>
        <v>26.792727272727276</v>
      </c>
      <c r="Y315" s="40">
        <f>VLOOKUP(D315,[1]apoio_Preços_MGS!$A$6:$AN$238,30,FALSE)</f>
        <v>0</v>
      </c>
      <c r="Z315" s="40">
        <f>Y315+X315</f>
        <v>26.792727272727276</v>
      </c>
      <c r="AA315" s="40">
        <f>VLOOKUP(D315,[1]apoio_Preços_MGS!$A$6:$AN$238,32,FALSE)</f>
        <v>5.6942663999999992</v>
      </c>
      <c r="AB315" s="40">
        <f>VLOOKUP(D315,[1]apoio_Preços_MGS!$A$6:$AN$238,33,FALSE)</f>
        <v>372.0545454545454</v>
      </c>
      <c r="AC315" s="41">
        <f>VLOOKUP(D315,[1]apoio_Preços_MGS!$A$6:$AN$238,34,FALSE)</f>
        <v>0</v>
      </c>
      <c r="AD315" s="40">
        <f>(U315+W315+Z315+AB315+AA315+VLOOKUP(C315,[1]apoio_Prec_Folha!$A:$S,7,FALSE))*AC315</f>
        <v>0</v>
      </c>
      <c r="AE315" s="42">
        <f>VLOOKUP(D315,[1]apoio_Preços_MGS!$A$6:$AN$238,36,FALSE)</f>
        <v>7.0000000000000007E-2</v>
      </c>
      <c r="AF315" s="40">
        <f>(U315+W315+Z315+AB315+AD315+AA315+VLOOKUP(C315,[1]apoio_Prec_Folha!$A:$S,7,FALSE))*AE315</f>
        <v>444.35160256390907</v>
      </c>
      <c r="AG315" s="40">
        <f>TRUNC(U315+W315+Z315+AB315+AA315+AD315+AF315,2)</f>
        <v>6240.65</v>
      </c>
      <c r="AH315" s="43">
        <f t="shared" si="118"/>
        <v>7193.84</v>
      </c>
      <c r="AI315" s="43">
        <f>AH315*K315</f>
        <v>35969.199999999997</v>
      </c>
      <c r="AJ315" s="43">
        <f>AH315*L315</f>
        <v>2158152</v>
      </c>
      <c r="AK315" s="44">
        <f>VLOOKUP(D315,[1]apoio_Preços_MGS!$A$6:$AN$238,39,FALSE)</f>
        <v>181.81818181818184</v>
      </c>
      <c r="AL315" s="44">
        <f>IF(J315="demais municípios",VLOOKUP(D315,[1]apoio_Preços_MGS!$A$6:$AN$238,39,FALSE),0)</f>
        <v>181.81818181818184</v>
      </c>
      <c r="AM315" s="44">
        <v>0</v>
      </c>
      <c r="AN315" s="45">
        <f t="shared" si="151"/>
        <v>909.09090909090924</v>
      </c>
      <c r="AO315" s="44">
        <f>VLOOKUP(D315,[1]apoio_Preços_MGS!$A$6:$AN$238,40,FALSE)</f>
        <v>551.58000000000004</v>
      </c>
      <c r="AP315" s="44">
        <f>IF(J315="demais municípios",VLOOKUP(D315,[1]apoio_Preços_MGS!$A$6:$AN$238,40,FALSE),0)</f>
        <v>551.58000000000004</v>
      </c>
      <c r="AQ315" s="44">
        <v>0</v>
      </c>
      <c r="AR315" s="45">
        <f t="shared" si="152"/>
        <v>2757.9</v>
      </c>
      <c r="AS315" s="45">
        <f t="shared" si="127"/>
        <v>3666.9909090909096</v>
      </c>
      <c r="AT315" s="45">
        <f t="shared" si="128"/>
        <v>220019.45454545459</v>
      </c>
      <c r="AU315" s="62"/>
      <c r="AV315" s="46"/>
      <c r="AW315" s="47"/>
      <c r="AX315" s="48"/>
      <c r="AY315" s="49"/>
      <c r="BA315" s="48"/>
    </row>
    <row r="316" spans="1:53" ht="19.5" customHeight="1" x14ac:dyDescent="0.25">
      <c r="A316" s="33" t="str">
        <f t="shared" si="123"/>
        <v>146277400,04</v>
      </c>
      <c r="B316" s="33" t="str">
        <f t="shared" si="124"/>
        <v>18980,04</v>
      </c>
      <c r="C316" s="34" t="str">
        <f>VLOOKUP(D316,[1]apoio_Preços_MGS!$A$6:$B$238,2,FALSE)</f>
        <v>ENCARREGADO DE CAMPO</v>
      </c>
      <c r="D316" s="35">
        <v>1898</v>
      </c>
      <c r="E316" s="33" t="str">
        <f>VLOOKUP(D316,[1]apoio_Preços_MGS!$A$6:$F$238,6,FALSE)</f>
        <v>ENCARREGADO DE CAMPO - DIARISTA DIURNO</v>
      </c>
      <c r="F316" s="36">
        <f>IFERROR(VLOOKUP(D316,'[1]apoio_cód catmas'!$B$2:$C$863,2,FALSE),0)</f>
        <v>146277</v>
      </c>
      <c r="G316" s="33" t="str">
        <f>IF(H316="N/A",VLOOKUP(F316&amp;40,'[1]apoio_cód catmas'!$A$1:$G$233,4,FALSE),VLOOKUP(F316&amp;H316,'[1]apoio_cód catmas'!$A$1:$G$233,4,FALSE))</f>
        <v>ENCARREGADO DE CAMPO - 40H OU 44H</v>
      </c>
      <c r="H316" s="36">
        <v>40</v>
      </c>
      <c r="I316" s="37">
        <v>0.04</v>
      </c>
      <c r="J316" s="38" t="s">
        <v>46</v>
      </c>
      <c r="K316" s="39">
        <v>3</v>
      </c>
      <c r="L316" s="39">
        <f>K316*56</f>
        <v>168</v>
      </c>
      <c r="M316" s="40">
        <f>VLOOKUP(D316,[1]apoio_Preços_MGS!$A$6:$AN$238,18,FALSE)</f>
        <v>2965.7637499999996</v>
      </c>
      <c r="N316" s="40">
        <f>VLOOKUP(D316,[1]apoio_Preços_MGS!$A$6:$AN$238,19,FALSE)</f>
        <v>0</v>
      </c>
      <c r="O316" s="40">
        <f>VLOOKUP(D316,[1]apoio_Preços_MGS!$A$6:$AN$238,20,FALSE)</f>
        <v>0</v>
      </c>
      <c r="P316" s="40">
        <f>VLOOKUP(D316,[1]apoio_Preços_MGS!$A$6:$AN$238,21,FALSE)</f>
        <v>0</v>
      </c>
      <c r="Q316" s="40">
        <f>VLOOKUP(D316,[1]apoio_Preços_MGS!$A$6:$AN$238,22,FALSE)</f>
        <v>0</v>
      </c>
      <c r="R316" s="40">
        <f>VLOOKUP(D316,[1]apoio_Preços_MGS!$A$6:$AN$238,23,FALSE)</f>
        <v>0</v>
      </c>
      <c r="S316" s="40">
        <f>VLOOKUP(D316,[1]apoio_Preços_MGS!$A$6:$AN$238,24,FALSE)</f>
        <v>0</v>
      </c>
      <c r="T316" s="40">
        <f>VLOOKUP(D316,[1]apoio_Preços_MGS!$A$6:$AN$238,25,FALSE)</f>
        <v>0</v>
      </c>
      <c r="U316" s="40">
        <f t="shared" ref="U316:U379" si="171">SUM(M316:T316)</f>
        <v>2965.7637499999996</v>
      </c>
      <c r="V316" s="41">
        <f>VLOOKUP(D316,[1]apoio_Preços_MGS!$A$6:$AN$238,27,FALSE)</f>
        <v>0.81799999999999995</v>
      </c>
      <c r="W316" s="40">
        <f t="shared" ref="W316:W379" si="172">U316*V316</f>
        <v>2425.9947474999994</v>
      </c>
      <c r="X316" s="40">
        <f>VLOOKUP(D316,[1]apoio_Preços_MGS!$A$6:$AN$238,29,FALSE)</f>
        <v>26.792727272727276</v>
      </c>
      <c r="Y316" s="40">
        <f>VLOOKUP(D316,[1]apoio_Preços_MGS!$A$6:$AN$238,30,FALSE)</f>
        <v>0</v>
      </c>
      <c r="Z316" s="40">
        <f t="shared" ref="Z316" si="173">Y316+X316</f>
        <v>26.792727272727276</v>
      </c>
      <c r="AA316" s="40">
        <f>VLOOKUP(D316,[1]apoio_Preços_MGS!$A$6:$AN$238,32,FALSE)</f>
        <v>5.6942663999999992</v>
      </c>
      <c r="AB316" s="40">
        <f>VLOOKUP(D316,[1]apoio_Preços_MGS!$A$6:$AN$238,33,FALSE)</f>
        <v>372.0545454545454</v>
      </c>
      <c r="AC316" s="41">
        <f>VLOOKUP(D316,[1]apoio_Preços_MGS!$A$6:$AN$238,34,FALSE)</f>
        <v>0</v>
      </c>
      <c r="AD316" s="40">
        <f>(U316+W316+Z316+AB316+AA316+VLOOKUP(C316,[1]apoio_Prec_Folha!$A:$S,7,FALSE))*AC316</f>
        <v>0</v>
      </c>
      <c r="AE316" s="42">
        <f>VLOOKUP(D316,[1]apoio_Preços_MGS!$A$6:$AN$238,36,FALSE)</f>
        <v>7.0000000000000007E-2</v>
      </c>
      <c r="AF316" s="40">
        <f>(U316+W316+Z316+AB316+AD316+AA316+VLOOKUP(C316,[1]apoio_Prec_Folha!$A:$S,7,FALSE))*AE316</f>
        <v>444.35160256390907</v>
      </c>
      <c r="AG316" s="40">
        <f t="shared" ref="AG316" si="174">TRUNC(U316+W316+Z316+AB316+AA316+AD316+AF316,2)</f>
        <v>6240.65</v>
      </c>
      <c r="AH316" s="43">
        <f t="shared" si="118"/>
        <v>7193.84</v>
      </c>
      <c r="AI316" s="43">
        <f t="shared" ref="AI316" si="175">AH316*K316</f>
        <v>21581.52</v>
      </c>
      <c r="AJ316" s="43">
        <f t="shared" ref="AJ316" si="176">AH316*L316</f>
        <v>1208565.1200000001</v>
      </c>
      <c r="AK316" s="44">
        <f>VLOOKUP(D316,[1]apoio_Preços_MGS!$A$6:$AN$238,39,FALSE)</f>
        <v>181.81818181818184</v>
      </c>
      <c r="AL316" s="44">
        <f>IF(J316="demais municípios",VLOOKUP(D316,[1]apoio_Preços_MGS!$A$6:$AN$238,39,FALSE),0)</f>
        <v>181.81818181818184</v>
      </c>
      <c r="AM316" s="44">
        <v>0</v>
      </c>
      <c r="AN316" s="45">
        <f t="shared" si="151"/>
        <v>545.4545454545455</v>
      </c>
      <c r="AO316" s="44">
        <f>VLOOKUP(D316,[1]apoio_Preços_MGS!$A$6:$AN$238,40,FALSE)</f>
        <v>551.58000000000004</v>
      </c>
      <c r="AP316" s="44">
        <f>IF(J316="demais municípios",VLOOKUP(D316,[1]apoio_Preços_MGS!$A$6:$AN$238,40,FALSE),0)</f>
        <v>551.58000000000004</v>
      </c>
      <c r="AQ316" s="44">
        <v>0</v>
      </c>
      <c r="AR316" s="45">
        <f t="shared" si="152"/>
        <v>1654.7400000000002</v>
      </c>
      <c r="AS316" s="45">
        <f t="shared" si="127"/>
        <v>2200.1945454545457</v>
      </c>
      <c r="AT316" s="45">
        <f t="shared" si="128"/>
        <v>132011.67272727273</v>
      </c>
      <c r="AU316" s="62"/>
      <c r="AV316" s="46"/>
      <c r="AW316" s="47"/>
      <c r="AX316" s="48"/>
      <c r="AY316" s="49"/>
      <c r="BA316" s="48"/>
    </row>
    <row r="317" spans="1:53" ht="19.5" customHeight="1" x14ac:dyDescent="0.25">
      <c r="A317" s="33" t="str">
        <f t="shared" si="123"/>
        <v>146277400,05</v>
      </c>
      <c r="B317" s="33" t="str">
        <f t="shared" si="124"/>
        <v>18980,05</v>
      </c>
      <c r="C317" s="34" t="str">
        <f>VLOOKUP(D317,[1]apoio_Preços_MGS!$A$6:$B$238,2,FALSE)</f>
        <v>ENCARREGADO DE CAMPO</v>
      </c>
      <c r="D317" s="35">
        <v>1898</v>
      </c>
      <c r="E317" s="33" t="str">
        <f>VLOOKUP(D317,[1]apoio_Preços_MGS!$A$6:$F$238,6,FALSE)</f>
        <v>ENCARREGADO DE CAMPO - DIARISTA DIURNO</v>
      </c>
      <c r="F317" s="36">
        <f>IFERROR(VLOOKUP(D317,'[1]apoio_cód catmas'!$B$2:$C$863,2,FALSE),0)</f>
        <v>146277</v>
      </c>
      <c r="G317" s="33" t="str">
        <f>IF(H317="N/A",VLOOKUP(F317&amp;40,'[1]apoio_cód catmas'!$A$1:$G$233,4,FALSE),VLOOKUP(F317&amp;H317,'[1]apoio_cód catmas'!$A$1:$G$233,4,FALSE))</f>
        <v>ENCARREGADO DE CAMPO - 40H OU 44H</v>
      </c>
      <c r="H317" s="36">
        <v>40</v>
      </c>
      <c r="I317" s="37">
        <v>0.05</v>
      </c>
      <c r="J317" s="38" t="s">
        <v>46</v>
      </c>
      <c r="K317" s="39">
        <f>150-K318-17</f>
        <v>7</v>
      </c>
      <c r="L317" s="39">
        <f t="shared" ref="L317:L318" si="177">K317*60</f>
        <v>420</v>
      </c>
      <c r="M317" s="40">
        <f>VLOOKUP(D317,[1]apoio_Preços_MGS!$A$6:$AN$238,18,FALSE)</f>
        <v>2965.7637499999996</v>
      </c>
      <c r="N317" s="40">
        <f>VLOOKUP(D317,[1]apoio_Preços_MGS!$A$6:$AN$238,19,FALSE)</f>
        <v>0</v>
      </c>
      <c r="O317" s="40">
        <f>VLOOKUP(D317,[1]apoio_Preços_MGS!$A$6:$AN$238,20,FALSE)</f>
        <v>0</v>
      </c>
      <c r="P317" s="40">
        <f>VLOOKUP(D317,[1]apoio_Preços_MGS!$A$6:$AN$238,21,FALSE)</f>
        <v>0</v>
      </c>
      <c r="Q317" s="40">
        <f>VLOOKUP(D317,[1]apoio_Preços_MGS!$A$6:$AN$238,22,FALSE)</f>
        <v>0</v>
      </c>
      <c r="R317" s="40">
        <f>VLOOKUP(D317,[1]apoio_Preços_MGS!$A$6:$AN$238,23,FALSE)</f>
        <v>0</v>
      </c>
      <c r="S317" s="40">
        <f>VLOOKUP(D317,[1]apoio_Preços_MGS!$A$6:$AN$238,24,FALSE)</f>
        <v>0</v>
      </c>
      <c r="T317" s="40">
        <f>VLOOKUP(D317,[1]apoio_Preços_MGS!$A$6:$AN$238,25,FALSE)</f>
        <v>0</v>
      </c>
      <c r="U317" s="40">
        <f t="shared" si="171"/>
        <v>2965.7637499999996</v>
      </c>
      <c r="V317" s="41">
        <f>VLOOKUP(D317,[1]apoio_Preços_MGS!$A$6:$AN$238,27,FALSE)</f>
        <v>0.81799999999999995</v>
      </c>
      <c r="W317" s="40">
        <f t="shared" si="172"/>
        <v>2425.9947474999994</v>
      </c>
      <c r="X317" s="40">
        <f>VLOOKUP(D317,[1]apoio_Preços_MGS!$A$6:$AN$238,29,FALSE)</f>
        <v>26.792727272727276</v>
      </c>
      <c r="Y317" s="40">
        <f>VLOOKUP(D317,[1]apoio_Preços_MGS!$A$6:$AN$238,30,FALSE)</f>
        <v>0</v>
      </c>
      <c r="Z317" s="40">
        <f>Y317+X317</f>
        <v>26.792727272727276</v>
      </c>
      <c r="AA317" s="40">
        <f>VLOOKUP(D317,[1]apoio_Preços_MGS!$A$6:$AN$238,32,FALSE)</f>
        <v>5.6942663999999992</v>
      </c>
      <c r="AB317" s="40">
        <f>VLOOKUP(D317,[1]apoio_Preços_MGS!$A$6:$AN$238,33,FALSE)</f>
        <v>372.0545454545454</v>
      </c>
      <c r="AC317" s="41">
        <f>VLOOKUP(D317,[1]apoio_Preços_MGS!$A$6:$AN$238,34,FALSE)</f>
        <v>0</v>
      </c>
      <c r="AD317" s="40">
        <f>(U317+W317+Z317+AB317+AA317+VLOOKUP(C317,[1]apoio_Prec_Folha!$A:$S,7,FALSE))*AC317</f>
        <v>0</v>
      </c>
      <c r="AE317" s="42">
        <f>VLOOKUP(D317,[1]apoio_Preços_MGS!$A$6:$AN$238,36,FALSE)</f>
        <v>7.0000000000000007E-2</v>
      </c>
      <c r="AF317" s="40">
        <f>(U317+W317+Z317+AB317+AD317+AA317+VLOOKUP(C317,[1]apoio_Prec_Folha!$A:$S,7,FALSE))*AE317</f>
        <v>444.35160256390907</v>
      </c>
      <c r="AG317" s="40">
        <f>TRUNC(U317+W317+Z317+AB317+AA317+AD317+AF317,2)</f>
        <v>6240.65</v>
      </c>
      <c r="AH317" s="43">
        <f t="shared" si="118"/>
        <v>7277.72</v>
      </c>
      <c r="AI317" s="43">
        <f>AH317*K317</f>
        <v>50944.04</v>
      </c>
      <c r="AJ317" s="43">
        <f>AH317*L317</f>
        <v>3056642.4</v>
      </c>
      <c r="AK317" s="44">
        <f>VLOOKUP(D317,[1]apoio_Preços_MGS!$A$6:$AN$238,39,FALSE)</f>
        <v>181.81818181818184</v>
      </c>
      <c r="AL317" s="44">
        <f>IF(J317="demais municípios",VLOOKUP(D317,[1]apoio_Preços_MGS!$A$6:$AN$238,39,FALSE),0)</f>
        <v>181.81818181818184</v>
      </c>
      <c r="AM317" s="44">
        <v>0</v>
      </c>
      <c r="AN317" s="45">
        <f t="shared" si="151"/>
        <v>1272.727272727273</v>
      </c>
      <c r="AO317" s="44">
        <f>VLOOKUP(D317,[1]apoio_Preços_MGS!$A$6:$AN$238,40,FALSE)</f>
        <v>551.58000000000004</v>
      </c>
      <c r="AP317" s="44">
        <f>IF(J317="demais municípios",VLOOKUP(D317,[1]apoio_Preços_MGS!$A$6:$AN$238,40,FALSE),0)</f>
        <v>551.58000000000004</v>
      </c>
      <c r="AQ317" s="44">
        <v>0</v>
      </c>
      <c r="AR317" s="45">
        <f t="shared" si="152"/>
        <v>3861.0600000000004</v>
      </c>
      <c r="AS317" s="45">
        <f t="shared" si="127"/>
        <v>5133.7872727272734</v>
      </c>
      <c r="AT317" s="45">
        <f t="shared" si="128"/>
        <v>308027.23636363639</v>
      </c>
      <c r="AU317" s="62"/>
      <c r="AV317" s="46"/>
      <c r="AW317" s="47"/>
      <c r="AX317" s="48"/>
      <c r="AY317" s="49"/>
      <c r="BA317" s="48"/>
    </row>
    <row r="318" spans="1:53" ht="19.5" customHeight="1" x14ac:dyDescent="0.25">
      <c r="A318" s="33" t="str">
        <f t="shared" si="123"/>
        <v>146277400,05</v>
      </c>
      <c r="B318" s="33" t="str">
        <f t="shared" si="124"/>
        <v>18980,05</v>
      </c>
      <c r="C318" s="34" t="str">
        <f>VLOOKUP(D318,[1]apoio_Preços_MGS!$A$6:$B$238,2,FALSE)</f>
        <v>ENCARREGADO DE CAMPO</v>
      </c>
      <c r="D318" s="35">
        <v>1898</v>
      </c>
      <c r="E318" s="33" t="str">
        <f>VLOOKUP(D318,[1]apoio_Preços_MGS!$A$6:$F$238,6,FALSE)</f>
        <v>ENCARREGADO DE CAMPO - DIARISTA DIURNO</v>
      </c>
      <c r="F318" s="36">
        <f>IFERROR(VLOOKUP(D318,'[1]apoio_cód catmas'!$B$2:$C$863,2,FALSE),0)</f>
        <v>146277</v>
      </c>
      <c r="G318" s="33" t="str">
        <f>IF(H318="N/A",VLOOKUP(F318&amp;40,'[1]apoio_cód catmas'!$A$1:$G$233,4,FALSE),VLOOKUP(F318&amp;H318,'[1]apoio_cód catmas'!$A$1:$G$233,4,FALSE))</f>
        <v>ENCARREGADO DE CAMPO - 40H OU 44H</v>
      </c>
      <c r="H318" s="36">
        <v>40</v>
      </c>
      <c r="I318" s="37">
        <v>0.05</v>
      </c>
      <c r="J318" s="38" t="s">
        <v>47</v>
      </c>
      <c r="K318" s="39">
        <f>143-17</f>
        <v>126</v>
      </c>
      <c r="L318" s="39">
        <f t="shared" si="177"/>
        <v>7560</v>
      </c>
      <c r="M318" s="40">
        <f>VLOOKUP(D318,[1]apoio_Preços_MGS!$A$6:$AN$238,18,FALSE)</f>
        <v>2965.7637499999996</v>
      </c>
      <c r="N318" s="40">
        <f>VLOOKUP(D318,[1]apoio_Preços_MGS!$A$6:$AN$238,19,FALSE)</f>
        <v>0</v>
      </c>
      <c r="O318" s="40">
        <f>VLOOKUP(D318,[1]apoio_Preços_MGS!$A$6:$AN$238,20,FALSE)</f>
        <v>0</v>
      </c>
      <c r="P318" s="40">
        <f>VLOOKUP(D318,[1]apoio_Preços_MGS!$A$6:$AN$238,21,FALSE)</f>
        <v>0</v>
      </c>
      <c r="Q318" s="40">
        <f>VLOOKUP(D318,[1]apoio_Preços_MGS!$A$6:$AN$238,22,FALSE)</f>
        <v>0</v>
      </c>
      <c r="R318" s="40">
        <f>VLOOKUP(D318,[1]apoio_Preços_MGS!$A$6:$AN$238,23,FALSE)</f>
        <v>0</v>
      </c>
      <c r="S318" s="40">
        <f>VLOOKUP(D318,[1]apoio_Preços_MGS!$A$6:$AN$238,24,FALSE)</f>
        <v>0</v>
      </c>
      <c r="T318" s="40">
        <f>VLOOKUP(D318,[1]apoio_Preços_MGS!$A$6:$AN$238,25,FALSE)</f>
        <v>0</v>
      </c>
      <c r="U318" s="40">
        <f t="shared" si="171"/>
        <v>2965.7637499999996</v>
      </c>
      <c r="V318" s="41">
        <f>VLOOKUP(D318,[1]apoio_Preços_MGS!$A$6:$AN$238,27,FALSE)</f>
        <v>0.81799999999999995</v>
      </c>
      <c r="W318" s="40">
        <f t="shared" si="172"/>
        <v>2425.9947474999994</v>
      </c>
      <c r="X318" s="40">
        <f>VLOOKUP(D318,[1]apoio_Preços_MGS!$A$6:$AN$238,29,FALSE)</f>
        <v>26.792727272727276</v>
      </c>
      <c r="Y318" s="40">
        <f>VLOOKUP(D318,[1]apoio_Preços_MGS!$A$6:$AN$238,30,FALSE)</f>
        <v>0</v>
      </c>
      <c r="Z318" s="40">
        <f t="shared" ref="Z318" si="178">Y318+X318</f>
        <v>26.792727272727276</v>
      </c>
      <c r="AA318" s="40">
        <f>VLOOKUP(D318,[1]apoio_Preços_MGS!$A$6:$AN$238,32,FALSE)</f>
        <v>5.6942663999999992</v>
      </c>
      <c r="AB318" s="40">
        <f>VLOOKUP(D318,[1]apoio_Preços_MGS!$A$6:$AN$238,33,FALSE)</f>
        <v>372.0545454545454</v>
      </c>
      <c r="AC318" s="41">
        <f>VLOOKUP(D318,[1]apoio_Preços_MGS!$A$6:$AN$238,34,FALSE)</f>
        <v>0</v>
      </c>
      <c r="AD318" s="40">
        <f>(U318+W318+Z318+AB318+AA318+VLOOKUP(C318,[1]apoio_Prec_Folha!$A:$S,7,FALSE))*AC318</f>
        <v>0</v>
      </c>
      <c r="AE318" s="42">
        <f>VLOOKUP(D318,[1]apoio_Preços_MGS!$A$6:$AN$238,36,FALSE)</f>
        <v>7.0000000000000007E-2</v>
      </c>
      <c r="AF318" s="40">
        <f>(U318+W318+Z318+AB318+AD318+AA318+VLOOKUP(C318,[1]apoio_Prec_Folha!$A:$S,7,FALSE))*AE318</f>
        <v>444.35160256390907</v>
      </c>
      <c r="AG318" s="40">
        <f t="shared" ref="AG318" si="179">TRUNC(U318+W318+Z318+AB318+AA318+AD318+AF318,2)</f>
        <v>6240.65</v>
      </c>
      <c r="AH318" s="43">
        <f t="shared" si="118"/>
        <v>7277.72</v>
      </c>
      <c r="AI318" s="43">
        <f t="shared" ref="AI318" si="180">AH318*K318</f>
        <v>916992.72000000009</v>
      </c>
      <c r="AJ318" s="43">
        <f t="shared" ref="AJ318" si="181">AH318*L318</f>
        <v>55019563.200000003</v>
      </c>
      <c r="AK318" s="44">
        <f>VLOOKUP(D318,[1]apoio_Preços_MGS!$A$6:$AN$238,39,FALSE)</f>
        <v>181.81818181818184</v>
      </c>
      <c r="AL318" s="44">
        <f>IF(J318="demais municípios",VLOOKUP(D318,[1]apoio_Preços_MGS!$A$6:$AN$238,39,FALSE),0)</f>
        <v>0</v>
      </c>
      <c r="AM318" s="44">
        <f>TRUNC(ROUND(($I318)/(1-($I318)),5)*VLOOKUP(D318,[1]apoio_Preços_MGS!$A$6:$AN$238,39,FALSE)+VLOOKUP(D318,[1]apoio_Preços_MGS!$A$6:$AN$238,39,FALSE),2)</f>
        <v>191.38</v>
      </c>
      <c r="AN318" s="45">
        <f t="shared" si="129"/>
        <v>24113.88</v>
      </c>
      <c r="AO318" s="44">
        <f>VLOOKUP(D318,[1]apoio_Preços_MGS!$A$6:$AN$238,40,FALSE)</f>
        <v>551.58000000000004</v>
      </c>
      <c r="AP318" s="44">
        <f>IF(J318="demais municípios",VLOOKUP(D318,[1]apoio_Preços_MGS!$A$6:$AN$238,40,FALSE),0)</f>
        <v>0</v>
      </c>
      <c r="AQ318" s="44">
        <f>TRUNC(ROUND(($I318)/(1-($I318)),5)*VLOOKUP(D318,[1]apoio_Preços_MGS!$A$6:$AN$238,40,FALSE)+VLOOKUP(D318,[1]apoio_Preços_MGS!$A$6:$AN$238,40,FALSE),2)</f>
        <v>580.6</v>
      </c>
      <c r="AR318" s="45">
        <f t="shared" si="130"/>
        <v>73155.600000000006</v>
      </c>
      <c r="AS318" s="45">
        <f t="shared" si="127"/>
        <v>97269.48000000001</v>
      </c>
      <c r="AT318" s="45">
        <f t="shared" si="128"/>
        <v>5836168.8000000007</v>
      </c>
      <c r="AU318" s="62"/>
      <c r="AV318" s="46"/>
      <c r="AW318" s="47"/>
      <c r="AX318" s="48"/>
      <c r="AY318" s="49"/>
      <c r="BA318" s="48"/>
    </row>
    <row r="319" spans="1:53" ht="19.5" customHeight="1" x14ac:dyDescent="0.25">
      <c r="A319" s="33" t="str">
        <f t="shared" si="123"/>
        <v>63541400,02</v>
      </c>
      <c r="B319" s="33" t="str">
        <f t="shared" si="124"/>
        <v>1850,02</v>
      </c>
      <c r="C319" s="34" t="str">
        <f>VLOOKUP(D319,[1]apoio_Preços_MGS!$A$6:$B$238,2,FALSE)</f>
        <v>FRENTISTA</v>
      </c>
      <c r="D319" s="35">
        <v>185</v>
      </c>
      <c r="E319" s="33" t="str">
        <f>VLOOKUP(D319,[1]apoio_Preços_MGS!$A$6:$F$238,6,FALSE)</f>
        <v>FRENTISTA - (PERIC.) - DIARISTA DIURNO - 40H</v>
      </c>
      <c r="F319" s="36">
        <f>IFERROR(VLOOKUP(D319,'[1]apoio_cód catmas'!$B$2:$C$863,2,FALSE),0)</f>
        <v>63541</v>
      </c>
      <c r="G319" s="33" t="str">
        <f>IF(H319="N/A",VLOOKUP(F319&amp;40,'[1]apoio_cód catmas'!$A$1:$G$233,4,FALSE),VLOOKUP(F319&amp;H319,'[1]apoio_cód catmas'!$A$1:$G$233,4,FALSE))</f>
        <v>FRENTISTA (PERICULOSIDADE) - 40H</v>
      </c>
      <c r="H319" s="36">
        <v>40</v>
      </c>
      <c r="I319" s="37">
        <v>0.02</v>
      </c>
      <c r="J319" s="38" t="s">
        <v>46</v>
      </c>
      <c r="K319" s="39">
        <v>14</v>
      </c>
      <c r="L319" s="39">
        <f t="shared" si="113"/>
        <v>840</v>
      </c>
      <c r="M319" s="40">
        <f>VLOOKUP(D319,[1]apoio_Preços_MGS!$A$6:$AN$238,18,FALSE)</f>
        <v>1782.303267155173</v>
      </c>
      <c r="N319" s="40">
        <f>VLOOKUP(D319,[1]apoio_Preços_MGS!$A$6:$AN$238,19,FALSE)</f>
        <v>534.69098014655185</v>
      </c>
      <c r="O319" s="40">
        <f>VLOOKUP(D319,[1]apoio_Preços_MGS!$A$6:$AN$238,20,FALSE)</f>
        <v>0</v>
      </c>
      <c r="P319" s="40">
        <f>VLOOKUP(D319,[1]apoio_Preços_MGS!$A$6:$AN$238,21,FALSE)</f>
        <v>0</v>
      </c>
      <c r="Q319" s="40">
        <f>VLOOKUP(D319,[1]apoio_Preços_MGS!$A$6:$AN$238,22,FALSE)</f>
        <v>0</v>
      </c>
      <c r="R319" s="40">
        <f>VLOOKUP(D319,[1]apoio_Preços_MGS!$A$6:$AN$238,23,FALSE)</f>
        <v>0</v>
      </c>
      <c r="S319" s="40">
        <f>VLOOKUP(D319,[1]apoio_Preços_MGS!$A$6:$AN$238,24,FALSE)</f>
        <v>0</v>
      </c>
      <c r="T319" s="40">
        <f>VLOOKUP(D319,[1]apoio_Preços_MGS!$A$6:$AN$238,25,FALSE)</f>
        <v>0</v>
      </c>
      <c r="U319" s="40">
        <f t="shared" si="171"/>
        <v>2316.994247301725</v>
      </c>
      <c r="V319" s="41">
        <f>VLOOKUP(D319,[1]apoio_Preços_MGS!$A$6:$AN$238,27,FALSE)</f>
        <v>0.81799999999999995</v>
      </c>
      <c r="W319" s="40">
        <f t="shared" si="172"/>
        <v>1895.301294292811</v>
      </c>
      <c r="X319" s="40">
        <f>VLOOKUP(D319,[1]apoio_Preços_MGS!$A$6:$AN$238,29,FALSE)</f>
        <v>19.18</v>
      </c>
      <c r="Y319" s="40">
        <f>VLOOKUP(D319,[1]apoio_Preços_MGS!$A$6:$AN$238,30,FALSE)</f>
        <v>27.826082375478929</v>
      </c>
      <c r="Z319" s="40">
        <f t="shared" si="116"/>
        <v>47.006082375478925</v>
      </c>
      <c r="AA319" s="40">
        <f>VLOOKUP(D319,[1]apoio_Preços_MGS!$A$6:$AN$238,32,FALSE)</f>
        <v>3.4220222729379319</v>
      </c>
      <c r="AB319" s="40">
        <f>VLOOKUP(D319,[1]apoio_Preços_MGS!$A$6:$AN$238,33,FALSE)</f>
        <v>283.14369905956107</v>
      </c>
      <c r="AC319" s="41">
        <f>VLOOKUP(D319,[1]apoio_Preços_MGS!$A$6:$AN$238,34,FALSE)</f>
        <v>3.3884442564035333E-2</v>
      </c>
      <c r="AD319" s="40">
        <f>(U319+W319+Z319+AB319+AA319+VLOOKUP(C319,[1]apoio_Prec_Folha!$A:$S,7,FALSE))*AC319</f>
        <v>172.40952721945456</v>
      </c>
      <c r="AE319" s="42">
        <f>VLOOKUP(D319,[1]apoio_Preços_MGS!$A$6:$AN$238,36,FALSE)</f>
        <v>7.0000000000000007E-2</v>
      </c>
      <c r="AF319" s="40">
        <f>(U319+W319+Z319+AB319+AD319+AA319+VLOOKUP(C319,[1]apoio_Prec_Folha!$A:$S,7,FALSE))*AE319</f>
        <v>368.23999486964135</v>
      </c>
      <c r="AG319" s="40">
        <f t="shared" si="117"/>
        <v>5086.51</v>
      </c>
      <c r="AH319" s="43">
        <f t="shared" si="118"/>
        <v>5731.27</v>
      </c>
      <c r="AI319" s="43">
        <f t="shared" si="119"/>
        <v>80237.78</v>
      </c>
      <c r="AJ319" s="43">
        <f t="shared" si="120"/>
        <v>4814266.8000000007</v>
      </c>
      <c r="AK319" s="44">
        <f>VLOOKUP(D319,[1]apoio_Preços_MGS!$A$6:$AN$238,39,FALSE)</f>
        <v>181.81818181818184</v>
      </c>
      <c r="AL319" s="44">
        <f>IF(J319="demais municípios",VLOOKUP(D319,[1]apoio_Preços_MGS!$A$6:$AN$238,39,FALSE),0)</f>
        <v>181.81818181818184</v>
      </c>
      <c r="AM319" s="44">
        <v>0</v>
      </c>
      <c r="AN319" s="45">
        <f t="shared" ref="AN319:AN324" si="182">AK319*K319</f>
        <v>2545.454545454546</v>
      </c>
      <c r="AO319" s="44">
        <f>VLOOKUP(D319,[1]apoio_Preços_MGS!$A$6:$AN$238,40,FALSE)</f>
        <v>542.29</v>
      </c>
      <c r="AP319" s="44">
        <f>IF(J319="demais municípios",VLOOKUP(D319,[1]apoio_Preços_MGS!$A$6:$AN$238,40,FALSE),0)</f>
        <v>542.29</v>
      </c>
      <c r="AQ319" s="44">
        <v>0</v>
      </c>
      <c r="AR319" s="45">
        <f t="shared" ref="AR319:AR324" si="183">AO319*K319</f>
        <v>7592.0599999999995</v>
      </c>
      <c r="AS319" s="45">
        <f t="shared" si="127"/>
        <v>10137.514545454545</v>
      </c>
      <c r="AT319" s="45">
        <f t="shared" si="128"/>
        <v>608250.87272727268</v>
      </c>
      <c r="AU319" s="62"/>
      <c r="AV319" s="46"/>
      <c r="AW319" s="47"/>
      <c r="AX319" s="48"/>
      <c r="AY319" s="49"/>
      <c r="BA319" s="48"/>
    </row>
    <row r="320" spans="1:53" ht="19.5" customHeight="1" x14ac:dyDescent="0.25">
      <c r="A320" s="33" t="str">
        <f t="shared" si="123"/>
        <v>63541400,03</v>
      </c>
      <c r="B320" s="33" t="str">
        <f t="shared" si="124"/>
        <v>1850,03</v>
      </c>
      <c r="C320" s="34" t="str">
        <f>VLOOKUP(D320,[1]apoio_Preços_MGS!$A$6:$B$238,2,FALSE)</f>
        <v>FRENTISTA</v>
      </c>
      <c r="D320" s="35">
        <v>185</v>
      </c>
      <c r="E320" s="33" t="str">
        <f>VLOOKUP(D320,[1]apoio_Preços_MGS!$A$6:$F$238,6,FALSE)</f>
        <v>FRENTISTA - (PERIC.) - DIARISTA DIURNO - 40H</v>
      </c>
      <c r="F320" s="36">
        <f>IFERROR(VLOOKUP(D320,'[1]apoio_cód catmas'!$B$2:$C$863,2,FALSE),0)</f>
        <v>63541</v>
      </c>
      <c r="G320" s="33" t="str">
        <f>IF(H320="N/A",VLOOKUP(F320&amp;40,'[1]apoio_cód catmas'!$A$1:$G$233,4,FALSE),VLOOKUP(F320&amp;H320,'[1]apoio_cód catmas'!$A$1:$G$233,4,FALSE))</f>
        <v>FRENTISTA (PERICULOSIDADE) - 40H</v>
      </c>
      <c r="H320" s="36">
        <v>40</v>
      </c>
      <c r="I320" s="37">
        <v>0.03</v>
      </c>
      <c r="J320" s="38" t="s">
        <v>46</v>
      </c>
      <c r="K320" s="39">
        <f>13-1</f>
        <v>12</v>
      </c>
      <c r="L320" s="39">
        <f t="shared" si="113"/>
        <v>720</v>
      </c>
      <c r="M320" s="40">
        <f>VLOOKUP(D320,[1]apoio_Preços_MGS!$A$6:$AN$238,18,FALSE)</f>
        <v>1782.303267155173</v>
      </c>
      <c r="N320" s="40">
        <f>VLOOKUP(D320,[1]apoio_Preços_MGS!$A$6:$AN$238,19,FALSE)</f>
        <v>534.69098014655185</v>
      </c>
      <c r="O320" s="40">
        <f>VLOOKUP(D320,[1]apoio_Preços_MGS!$A$6:$AN$238,20,FALSE)</f>
        <v>0</v>
      </c>
      <c r="P320" s="40">
        <f>VLOOKUP(D320,[1]apoio_Preços_MGS!$A$6:$AN$238,21,FALSE)</f>
        <v>0</v>
      </c>
      <c r="Q320" s="40">
        <f>VLOOKUP(D320,[1]apoio_Preços_MGS!$A$6:$AN$238,22,FALSE)</f>
        <v>0</v>
      </c>
      <c r="R320" s="40">
        <f>VLOOKUP(D320,[1]apoio_Preços_MGS!$A$6:$AN$238,23,FALSE)</f>
        <v>0</v>
      </c>
      <c r="S320" s="40">
        <f>VLOOKUP(D320,[1]apoio_Preços_MGS!$A$6:$AN$238,24,FALSE)</f>
        <v>0</v>
      </c>
      <c r="T320" s="40">
        <f>VLOOKUP(D320,[1]apoio_Preços_MGS!$A$6:$AN$238,25,FALSE)</f>
        <v>0</v>
      </c>
      <c r="U320" s="40">
        <f t="shared" si="171"/>
        <v>2316.994247301725</v>
      </c>
      <c r="V320" s="41">
        <f>VLOOKUP(D320,[1]apoio_Preços_MGS!$A$6:$AN$238,27,FALSE)</f>
        <v>0.81799999999999995</v>
      </c>
      <c r="W320" s="40">
        <f t="shared" si="172"/>
        <v>1895.301294292811</v>
      </c>
      <c r="X320" s="40">
        <f>VLOOKUP(D320,[1]apoio_Preços_MGS!$A$6:$AN$238,29,FALSE)</f>
        <v>19.18</v>
      </c>
      <c r="Y320" s="40">
        <f>VLOOKUP(D320,[1]apoio_Preços_MGS!$A$6:$AN$238,30,FALSE)</f>
        <v>27.826082375478929</v>
      </c>
      <c r="Z320" s="40">
        <f t="shared" si="116"/>
        <v>47.006082375478925</v>
      </c>
      <c r="AA320" s="40">
        <f>VLOOKUP(D320,[1]apoio_Preços_MGS!$A$6:$AN$238,32,FALSE)</f>
        <v>3.4220222729379319</v>
      </c>
      <c r="AB320" s="40">
        <f>VLOOKUP(D320,[1]apoio_Preços_MGS!$A$6:$AN$238,33,FALSE)</f>
        <v>283.14369905956107</v>
      </c>
      <c r="AC320" s="41">
        <f>VLOOKUP(D320,[1]apoio_Preços_MGS!$A$6:$AN$238,34,FALSE)</f>
        <v>3.3884442564035333E-2</v>
      </c>
      <c r="AD320" s="40">
        <f>(U320+W320+Z320+AB320+AA320+VLOOKUP(C320,[1]apoio_Prec_Folha!$A:$S,7,FALSE))*AC320</f>
        <v>172.40952721945456</v>
      </c>
      <c r="AE320" s="42">
        <f>VLOOKUP(D320,[1]apoio_Preços_MGS!$A$6:$AN$238,36,FALSE)</f>
        <v>7.0000000000000007E-2</v>
      </c>
      <c r="AF320" s="40">
        <f>(U320+W320+Z320+AB320+AD320+AA320+VLOOKUP(C320,[1]apoio_Prec_Folha!$A:$S,7,FALSE))*AE320</f>
        <v>368.23999486964135</v>
      </c>
      <c r="AG320" s="40">
        <f t="shared" si="117"/>
        <v>5086.51</v>
      </c>
      <c r="AH320" s="43">
        <f t="shared" si="118"/>
        <v>5796.58</v>
      </c>
      <c r="AI320" s="43">
        <f t="shared" si="119"/>
        <v>69558.959999999992</v>
      </c>
      <c r="AJ320" s="43">
        <f t="shared" si="120"/>
        <v>4173537.6</v>
      </c>
      <c r="AK320" s="44">
        <f>VLOOKUP(D320,[1]apoio_Preços_MGS!$A$6:$AN$238,39,FALSE)</f>
        <v>181.81818181818184</v>
      </c>
      <c r="AL320" s="44">
        <f>IF(J320="demais municípios",VLOOKUP(D320,[1]apoio_Preços_MGS!$A$6:$AN$238,39,FALSE),0)</f>
        <v>181.81818181818184</v>
      </c>
      <c r="AM320" s="44">
        <v>0</v>
      </c>
      <c r="AN320" s="45">
        <f t="shared" si="182"/>
        <v>2181.818181818182</v>
      </c>
      <c r="AO320" s="44">
        <f>VLOOKUP(D320,[1]apoio_Preços_MGS!$A$6:$AN$238,40,FALSE)</f>
        <v>542.29</v>
      </c>
      <c r="AP320" s="44">
        <f>IF(J320="demais municípios",VLOOKUP(D320,[1]apoio_Preços_MGS!$A$6:$AN$238,40,FALSE),0)</f>
        <v>542.29</v>
      </c>
      <c r="AQ320" s="44">
        <v>0</v>
      </c>
      <c r="AR320" s="45">
        <f t="shared" si="183"/>
        <v>6507.48</v>
      </c>
      <c r="AS320" s="45">
        <f t="shared" si="127"/>
        <v>8689.2981818181815</v>
      </c>
      <c r="AT320" s="45">
        <f t="shared" si="128"/>
        <v>521357.89090909087</v>
      </c>
      <c r="AU320" s="62"/>
      <c r="AV320" s="46"/>
      <c r="AW320" s="47"/>
      <c r="AX320" s="48"/>
      <c r="AY320" s="49"/>
      <c r="BA320" s="48"/>
    </row>
    <row r="321" spans="1:53" ht="19.5" customHeight="1" x14ac:dyDescent="0.25">
      <c r="A321" s="33" t="str">
        <f t="shared" si="123"/>
        <v>63541400,038</v>
      </c>
      <c r="B321" s="33" t="str">
        <f t="shared" si="124"/>
        <v>1850,038</v>
      </c>
      <c r="C321" s="34" t="str">
        <f>VLOOKUP(D321,[1]apoio_Preços_MGS!$A$6:$B$238,2,FALSE)</f>
        <v>FRENTISTA</v>
      </c>
      <c r="D321" s="35">
        <v>185</v>
      </c>
      <c r="E321" s="33" t="str">
        <f>VLOOKUP(D321,[1]apoio_Preços_MGS!$A$6:$F$238,6,FALSE)</f>
        <v>FRENTISTA - (PERIC.) - DIARISTA DIURNO - 40H</v>
      </c>
      <c r="F321" s="36">
        <f>IFERROR(VLOOKUP(D321,'[1]apoio_cód catmas'!$B$2:$C$863,2,FALSE),0)</f>
        <v>63541</v>
      </c>
      <c r="G321" s="33" t="str">
        <f>IF(H321="N/A",VLOOKUP(F321&amp;40,'[1]apoio_cód catmas'!$A$1:$G$233,4,FALSE),VLOOKUP(F321&amp;H321,'[1]apoio_cód catmas'!$A$1:$G$233,4,FALSE))</f>
        <v>FRENTISTA (PERICULOSIDADE) - 40H</v>
      </c>
      <c r="H321" s="36">
        <v>40</v>
      </c>
      <c r="I321" s="37">
        <v>3.7999999999999999E-2</v>
      </c>
      <c r="J321" s="38" t="s">
        <v>46</v>
      </c>
      <c r="K321" s="39">
        <v>2</v>
      </c>
      <c r="L321" s="39">
        <f t="shared" si="113"/>
        <v>120</v>
      </c>
      <c r="M321" s="40">
        <f>VLOOKUP(D321,[1]apoio_Preços_MGS!$A$6:$AN$238,18,FALSE)</f>
        <v>1782.303267155173</v>
      </c>
      <c r="N321" s="40">
        <f>VLOOKUP(D321,[1]apoio_Preços_MGS!$A$6:$AN$238,19,FALSE)</f>
        <v>534.69098014655185</v>
      </c>
      <c r="O321" s="40">
        <f>VLOOKUP(D321,[1]apoio_Preços_MGS!$A$6:$AN$238,20,FALSE)</f>
        <v>0</v>
      </c>
      <c r="P321" s="40">
        <f>VLOOKUP(D321,[1]apoio_Preços_MGS!$A$6:$AN$238,21,FALSE)</f>
        <v>0</v>
      </c>
      <c r="Q321" s="40">
        <f>VLOOKUP(D321,[1]apoio_Preços_MGS!$A$6:$AN$238,22,FALSE)</f>
        <v>0</v>
      </c>
      <c r="R321" s="40">
        <f>VLOOKUP(D321,[1]apoio_Preços_MGS!$A$6:$AN$238,23,FALSE)</f>
        <v>0</v>
      </c>
      <c r="S321" s="40">
        <f>VLOOKUP(D321,[1]apoio_Preços_MGS!$A$6:$AN$238,24,FALSE)</f>
        <v>0</v>
      </c>
      <c r="T321" s="40">
        <f>VLOOKUP(D321,[1]apoio_Preços_MGS!$A$6:$AN$238,25,FALSE)</f>
        <v>0</v>
      </c>
      <c r="U321" s="40">
        <f t="shared" si="171"/>
        <v>2316.994247301725</v>
      </c>
      <c r="V321" s="41">
        <v>0.81799999999999995</v>
      </c>
      <c r="W321" s="40">
        <f t="shared" si="172"/>
        <v>1895.301294292811</v>
      </c>
      <c r="X321" s="40">
        <f>VLOOKUP(D321,[1]apoio_Preços_MGS!$A$6:$AN$238,29,FALSE)</f>
        <v>19.18</v>
      </c>
      <c r="Y321" s="40">
        <f>VLOOKUP(D321,[1]apoio_Preços_MGS!$A$6:$AN$238,30,FALSE)</f>
        <v>27.826082375478929</v>
      </c>
      <c r="Z321" s="40">
        <f t="shared" si="116"/>
        <v>47.006082375478925</v>
      </c>
      <c r="AA321" s="40">
        <f>VLOOKUP(D321,[1]apoio_Preços_MGS!$A$6:$AN$238,32,FALSE)</f>
        <v>3.4220222729379319</v>
      </c>
      <c r="AB321" s="40">
        <f>VLOOKUP(D321,[1]apoio_Preços_MGS!$A$6:$AN$238,33,FALSE)</f>
        <v>283.14369905956107</v>
      </c>
      <c r="AC321" s="41">
        <f>VLOOKUP(D321,[1]apoio_Preços_MGS!$A$6:$AN$238,34,FALSE)</f>
        <v>3.3884442564035333E-2</v>
      </c>
      <c r="AD321" s="40">
        <f>(U321+W321+Z321+AB321+AA321+VLOOKUP(C321,[1]apoio_Prec_Folha!$A:$S,7,FALSE))*AC321</f>
        <v>172.40952721945456</v>
      </c>
      <c r="AE321" s="42">
        <f>VLOOKUP(D321,[1]apoio_Preços_MGS!$A$6:$AN$238,36,FALSE)</f>
        <v>7.0000000000000007E-2</v>
      </c>
      <c r="AF321" s="40">
        <f>(U321+W321+Z321+AB321+AD321+AA321+VLOOKUP(C321,[1]apoio_Prec_Folha!$A:$S,7,FALSE))*AE321</f>
        <v>368.23999486964135</v>
      </c>
      <c r="AG321" s="40">
        <f t="shared" si="117"/>
        <v>5086.51</v>
      </c>
      <c r="AH321" s="43">
        <f t="shared" si="118"/>
        <v>5849.94</v>
      </c>
      <c r="AI321" s="43">
        <f t="shared" si="119"/>
        <v>11699.88</v>
      </c>
      <c r="AJ321" s="43">
        <f t="shared" si="120"/>
        <v>701992.79999999993</v>
      </c>
      <c r="AK321" s="44">
        <f>VLOOKUP(D321,[1]apoio_Preços_MGS!$A$6:$AN$238,39,FALSE)</f>
        <v>181.81818181818184</v>
      </c>
      <c r="AL321" s="44">
        <f>IF(J321="demais municípios",VLOOKUP(D321,[1]apoio_Preços_MGS!$A$6:$AN$238,39,FALSE),0)</f>
        <v>181.81818181818184</v>
      </c>
      <c r="AM321" s="44">
        <v>0</v>
      </c>
      <c r="AN321" s="45">
        <f t="shared" si="182"/>
        <v>363.63636363636368</v>
      </c>
      <c r="AO321" s="44">
        <f>VLOOKUP(D321,[1]apoio_Preços_MGS!$A$6:$AN$238,40,FALSE)</f>
        <v>542.29</v>
      </c>
      <c r="AP321" s="44">
        <f>IF(J321="demais municípios",VLOOKUP(D321,[1]apoio_Preços_MGS!$A$6:$AN$238,40,FALSE),0)</f>
        <v>542.29</v>
      </c>
      <c r="AQ321" s="44">
        <v>0</v>
      </c>
      <c r="AR321" s="45">
        <f t="shared" si="183"/>
        <v>1084.58</v>
      </c>
      <c r="AS321" s="45">
        <f t="shared" si="127"/>
        <v>1448.2163636363637</v>
      </c>
      <c r="AT321" s="45">
        <f t="shared" si="128"/>
        <v>86892.981818181826</v>
      </c>
      <c r="AU321" s="62"/>
      <c r="AV321" s="46"/>
      <c r="AW321" s="47"/>
      <c r="AX321" s="48"/>
      <c r="AY321" s="49"/>
      <c r="BA321" s="48"/>
    </row>
    <row r="322" spans="1:53" ht="19.5" customHeight="1" x14ac:dyDescent="0.25">
      <c r="A322" s="33" t="str">
        <f t="shared" si="123"/>
        <v>63541400,04</v>
      </c>
      <c r="B322" s="33" t="str">
        <f t="shared" si="124"/>
        <v>1850,04</v>
      </c>
      <c r="C322" s="34" t="str">
        <f>VLOOKUP(D322,[1]apoio_Preços_MGS!$A$6:$B$238,2,FALSE)</f>
        <v>FRENTISTA</v>
      </c>
      <c r="D322" s="35">
        <v>185</v>
      </c>
      <c r="E322" s="33" t="str">
        <f>VLOOKUP(D322,[1]apoio_Preços_MGS!$A$6:$F$238,6,FALSE)</f>
        <v>FRENTISTA - (PERIC.) - DIARISTA DIURNO - 40H</v>
      </c>
      <c r="F322" s="36">
        <f>IFERROR(VLOOKUP(D322,'[1]apoio_cód catmas'!$B$2:$C$863,2,FALSE),0)</f>
        <v>63541</v>
      </c>
      <c r="G322" s="33" t="str">
        <f>IF(H322="N/A",VLOOKUP(F322&amp;40,'[1]apoio_cód catmas'!$A$1:$G$233,4,FALSE),VLOOKUP(F322&amp;H322,'[1]apoio_cód catmas'!$A$1:$G$233,4,FALSE))</f>
        <v>FRENTISTA (PERICULOSIDADE) - 40H</v>
      </c>
      <c r="H322" s="36">
        <v>40</v>
      </c>
      <c r="I322" s="37">
        <v>0.04</v>
      </c>
      <c r="J322" s="38" t="s">
        <v>46</v>
      </c>
      <c r="K322" s="39">
        <v>2</v>
      </c>
      <c r="L322" s="39">
        <f t="shared" si="113"/>
        <v>120</v>
      </c>
      <c r="M322" s="40">
        <f>VLOOKUP(D322,[1]apoio_Preços_MGS!$A$6:$AN$238,18,FALSE)</f>
        <v>1782.303267155173</v>
      </c>
      <c r="N322" s="40">
        <f>VLOOKUP(D322,[1]apoio_Preços_MGS!$A$6:$AN$238,19,FALSE)</f>
        <v>534.69098014655185</v>
      </c>
      <c r="O322" s="40">
        <f>VLOOKUP(D322,[1]apoio_Preços_MGS!$A$6:$AN$238,20,FALSE)</f>
        <v>0</v>
      </c>
      <c r="P322" s="40">
        <f>VLOOKUP(D322,[1]apoio_Preços_MGS!$A$6:$AN$238,21,FALSE)</f>
        <v>0</v>
      </c>
      <c r="Q322" s="40">
        <f>VLOOKUP(D322,[1]apoio_Preços_MGS!$A$6:$AN$238,22,FALSE)</f>
        <v>0</v>
      </c>
      <c r="R322" s="40">
        <f>VLOOKUP(D322,[1]apoio_Preços_MGS!$A$6:$AN$238,23,FALSE)</f>
        <v>0</v>
      </c>
      <c r="S322" s="40">
        <f>VLOOKUP(D322,[1]apoio_Preços_MGS!$A$6:$AN$238,24,FALSE)</f>
        <v>0</v>
      </c>
      <c r="T322" s="40">
        <f>VLOOKUP(D322,[1]apoio_Preços_MGS!$A$6:$AN$238,25,FALSE)</f>
        <v>0</v>
      </c>
      <c r="U322" s="40">
        <f t="shared" si="171"/>
        <v>2316.994247301725</v>
      </c>
      <c r="V322" s="41">
        <v>0.81799999999999995</v>
      </c>
      <c r="W322" s="40">
        <f t="shared" si="172"/>
        <v>1895.301294292811</v>
      </c>
      <c r="X322" s="40">
        <f>VLOOKUP(D322,[1]apoio_Preços_MGS!$A$6:$AN$238,29,FALSE)</f>
        <v>19.18</v>
      </c>
      <c r="Y322" s="40">
        <f>VLOOKUP(D322,[1]apoio_Preços_MGS!$A$6:$AN$238,30,FALSE)</f>
        <v>27.826082375478929</v>
      </c>
      <c r="Z322" s="40">
        <f t="shared" si="116"/>
        <v>47.006082375478925</v>
      </c>
      <c r="AA322" s="40">
        <f>VLOOKUP(D322,[1]apoio_Preços_MGS!$A$6:$AN$238,32,FALSE)</f>
        <v>3.4220222729379319</v>
      </c>
      <c r="AB322" s="40">
        <f>VLOOKUP(D322,[1]apoio_Preços_MGS!$A$6:$AN$238,33,FALSE)</f>
        <v>283.14369905956107</v>
      </c>
      <c r="AC322" s="41">
        <f>VLOOKUP(D322,[1]apoio_Preços_MGS!$A$6:$AN$238,34,FALSE)</f>
        <v>3.3884442564035333E-2</v>
      </c>
      <c r="AD322" s="40">
        <f>(U322+W322+Z322+AB322+AA322+VLOOKUP(C322,[1]apoio_Prec_Folha!$A:$S,7,FALSE))*AC322</f>
        <v>172.40952721945456</v>
      </c>
      <c r="AE322" s="42">
        <f>VLOOKUP(D322,[1]apoio_Preços_MGS!$A$6:$AN$238,36,FALSE)</f>
        <v>7.0000000000000007E-2</v>
      </c>
      <c r="AF322" s="40">
        <f>(U322+W322+Z322+AB322+AD322+AA322+VLOOKUP(C322,[1]apoio_Prec_Folha!$A:$S,7,FALSE))*AE322</f>
        <v>368.23999486964135</v>
      </c>
      <c r="AG322" s="40">
        <f t="shared" si="117"/>
        <v>5086.51</v>
      </c>
      <c r="AH322" s="43">
        <f t="shared" si="118"/>
        <v>5863.42</v>
      </c>
      <c r="AI322" s="43">
        <f t="shared" si="119"/>
        <v>11726.84</v>
      </c>
      <c r="AJ322" s="43">
        <f t="shared" si="120"/>
        <v>703610.4</v>
      </c>
      <c r="AK322" s="44">
        <f>VLOOKUP(D322,[1]apoio_Preços_MGS!$A$6:$AN$238,39,FALSE)</f>
        <v>181.81818181818184</v>
      </c>
      <c r="AL322" s="44">
        <f>IF(J322="demais municípios",VLOOKUP(D322,[1]apoio_Preços_MGS!$A$6:$AN$238,39,FALSE),0)</f>
        <v>181.81818181818184</v>
      </c>
      <c r="AM322" s="44">
        <v>0</v>
      </c>
      <c r="AN322" s="45">
        <f t="shared" si="182"/>
        <v>363.63636363636368</v>
      </c>
      <c r="AO322" s="44">
        <f>VLOOKUP(D322,[1]apoio_Preços_MGS!$A$6:$AN$238,40,FALSE)</f>
        <v>542.29</v>
      </c>
      <c r="AP322" s="44">
        <f>IF(J322="demais municípios",VLOOKUP(D322,[1]apoio_Preços_MGS!$A$6:$AN$238,40,FALSE),0)</f>
        <v>542.29</v>
      </c>
      <c r="AQ322" s="44">
        <v>0</v>
      </c>
      <c r="AR322" s="45">
        <f t="shared" si="183"/>
        <v>1084.58</v>
      </c>
      <c r="AS322" s="45">
        <f t="shared" si="127"/>
        <v>1448.2163636363637</v>
      </c>
      <c r="AT322" s="45">
        <f t="shared" si="128"/>
        <v>86892.981818181826</v>
      </c>
      <c r="AU322" s="62"/>
      <c r="AV322" s="46"/>
      <c r="AW322" s="47"/>
      <c r="AX322" s="48"/>
      <c r="AY322" s="49"/>
      <c r="BA322" s="48"/>
    </row>
    <row r="323" spans="1:53" ht="19.5" customHeight="1" x14ac:dyDescent="0.25">
      <c r="A323" s="33" t="str">
        <f t="shared" si="123"/>
        <v>63541400,05</v>
      </c>
      <c r="B323" s="33" t="str">
        <f t="shared" si="124"/>
        <v>1850,05</v>
      </c>
      <c r="C323" s="34" t="str">
        <f>VLOOKUP(D323,[1]apoio_Preços_MGS!$A$6:$B$238,2,FALSE)</f>
        <v>FRENTISTA</v>
      </c>
      <c r="D323" s="35">
        <v>185</v>
      </c>
      <c r="E323" s="33" t="str">
        <f>VLOOKUP(D323,[1]apoio_Preços_MGS!$A$6:$F$238,6,FALSE)</f>
        <v>FRENTISTA - (PERIC.) - DIARISTA DIURNO - 40H</v>
      </c>
      <c r="F323" s="36">
        <f>IFERROR(VLOOKUP(D323,'[1]apoio_cód catmas'!$B$2:$C$863,2,FALSE),0)</f>
        <v>63541</v>
      </c>
      <c r="G323" s="33" t="str">
        <f>IF(H323="N/A",VLOOKUP(F323&amp;40,'[1]apoio_cód catmas'!$A$1:$G$233,4,FALSE),VLOOKUP(F323&amp;H323,'[1]apoio_cód catmas'!$A$1:$G$233,4,FALSE))</f>
        <v>FRENTISTA (PERICULOSIDADE) - 40H</v>
      </c>
      <c r="H323" s="36">
        <v>40</v>
      </c>
      <c r="I323" s="37">
        <v>0.05</v>
      </c>
      <c r="J323" s="38" t="s">
        <v>46</v>
      </c>
      <c r="K323" s="39">
        <v>1</v>
      </c>
      <c r="L323" s="39">
        <f>K323*56</f>
        <v>56</v>
      </c>
      <c r="M323" s="40">
        <f>VLOOKUP(D323,[1]apoio_Preços_MGS!$A$6:$AN$238,18,FALSE)</f>
        <v>1782.303267155173</v>
      </c>
      <c r="N323" s="40">
        <f>VLOOKUP(D323,[1]apoio_Preços_MGS!$A$6:$AN$238,19,FALSE)</f>
        <v>534.69098014655185</v>
      </c>
      <c r="O323" s="40">
        <f>VLOOKUP(D323,[1]apoio_Preços_MGS!$A$6:$AN$238,20,FALSE)</f>
        <v>0</v>
      </c>
      <c r="P323" s="40">
        <f>VLOOKUP(D323,[1]apoio_Preços_MGS!$A$6:$AN$238,21,FALSE)</f>
        <v>0</v>
      </c>
      <c r="Q323" s="40">
        <f>VLOOKUP(D323,[1]apoio_Preços_MGS!$A$6:$AN$238,22,FALSE)</f>
        <v>0</v>
      </c>
      <c r="R323" s="40">
        <f>VLOOKUP(D323,[1]apoio_Preços_MGS!$A$6:$AN$238,23,FALSE)</f>
        <v>0</v>
      </c>
      <c r="S323" s="40">
        <f>VLOOKUP(D323,[1]apoio_Preços_MGS!$A$6:$AN$238,24,FALSE)</f>
        <v>0</v>
      </c>
      <c r="T323" s="40">
        <f>VLOOKUP(D323,[1]apoio_Preços_MGS!$A$6:$AN$238,25,FALSE)</f>
        <v>0</v>
      </c>
      <c r="U323" s="40">
        <f t="shared" si="171"/>
        <v>2316.994247301725</v>
      </c>
      <c r="V323" s="41">
        <v>0.81799999999999995</v>
      </c>
      <c r="W323" s="40">
        <f t="shared" si="172"/>
        <v>1895.301294292811</v>
      </c>
      <c r="X323" s="40">
        <f>VLOOKUP(D323,[1]apoio_Preços_MGS!$A$6:$AN$238,29,FALSE)</f>
        <v>19.18</v>
      </c>
      <c r="Y323" s="40">
        <f>VLOOKUP(D323,[1]apoio_Preços_MGS!$A$6:$AN$238,30,FALSE)</f>
        <v>27.826082375478929</v>
      </c>
      <c r="Z323" s="40">
        <f t="shared" si="116"/>
        <v>47.006082375478925</v>
      </c>
      <c r="AA323" s="40">
        <f>VLOOKUP(D323,[1]apoio_Preços_MGS!$A$6:$AN$238,32,FALSE)</f>
        <v>3.4220222729379319</v>
      </c>
      <c r="AB323" s="40">
        <f>VLOOKUP(D323,[1]apoio_Preços_MGS!$A$6:$AN$238,33,FALSE)</f>
        <v>283.14369905956107</v>
      </c>
      <c r="AC323" s="41">
        <f>VLOOKUP(D323,[1]apoio_Preços_MGS!$A$6:$AN$238,34,FALSE)</f>
        <v>3.3884442564035333E-2</v>
      </c>
      <c r="AD323" s="40">
        <f>(U323+W323+Z323+AB323+AA323+VLOOKUP(C323,[1]apoio_Prec_Folha!$A:$S,7,FALSE))*AC323</f>
        <v>172.40952721945456</v>
      </c>
      <c r="AE323" s="42">
        <f>VLOOKUP(D323,[1]apoio_Preços_MGS!$A$6:$AN$238,36,FALSE)</f>
        <v>7.0000000000000007E-2</v>
      </c>
      <c r="AF323" s="40">
        <f>(U323+W323+Z323+AB323+AD323+AA323+VLOOKUP(C323,[1]apoio_Prec_Folha!$A:$S,7,FALSE))*AE323</f>
        <v>368.23999486964135</v>
      </c>
      <c r="AG323" s="40">
        <f t="shared" si="117"/>
        <v>5086.51</v>
      </c>
      <c r="AH323" s="43">
        <f t="shared" si="118"/>
        <v>5931.78</v>
      </c>
      <c r="AI323" s="43">
        <f t="shared" si="119"/>
        <v>5931.78</v>
      </c>
      <c r="AJ323" s="43">
        <f t="shared" si="120"/>
        <v>332179.68</v>
      </c>
      <c r="AK323" s="44">
        <f>VLOOKUP(D323,[1]apoio_Preços_MGS!$A$6:$AN$238,39,FALSE)</f>
        <v>181.81818181818184</v>
      </c>
      <c r="AL323" s="44">
        <f>IF(J323="demais municípios",VLOOKUP(D323,[1]apoio_Preços_MGS!$A$6:$AN$238,39,FALSE),0)</f>
        <v>181.81818181818184</v>
      </c>
      <c r="AM323" s="44">
        <v>0</v>
      </c>
      <c r="AN323" s="45">
        <f t="shared" si="182"/>
        <v>181.81818181818184</v>
      </c>
      <c r="AO323" s="44">
        <f>VLOOKUP(D323,[1]apoio_Preços_MGS!$A$6:$AN$238,40,FALSE)</f>
        <v>542.29</v>
      </c>
      <c r="AP323" s="44">
        <f>IF(J323="demais municípios",VLOOKUP(D323,[1]apoio_Preços_MGS!$A$6:$AN$238,40,FALSE),0)</f>
        <v>542.29</v>
      </c>
      <c r="AQ323" s="44">
        <v>0</v>
      </c>
      <c r="AR323" s="45">
        <f t="shared" si="183"/>
        <v>542.29</v>
      </c>
      <c r="AS323" s="45">
        <f t="shared" si="127"/>
        <v>724.10818181818183</v>
      </c>
      <c r="AT323" s="45">
        <f t="shared" si="128"/>
        <v>43446.490909090913</v>
      </c>
      <c r="AU323" s="62"/>
      <c r="AV323" s="46"/>
      <c r="AW323" s="47"/>
      <c r="AX323" s="48"/>
      <c r="AY323" s="49"/>
      <c r="BA323" s="48"/>
    </row>
    <row r="324" spans="1:53" ht="19.5" customHeight="1" x14ac:dyDescent="0.25">
      <c r="A324" s="33" t="str">
        <f t="shared" ref="A324:A388" si="184">CONCATENATE(F324,H324,I324)</f>
        <v>63541400,05</v>
      </c>
      <c r="B324" s="33" t="str">
        <f t="shared" ref="B324:B388" si="185">CONCATENATE(D324,I324)</f>
        <v>1850,05</v>
      </c>
      <c r="C324" s="34" t="str">
        <f>VLOOKUP(D324,[1]apoio_Preços_MGS!$A$6:$B$238,2,FALSE)</f>
        <v>FRENTISTA</v>
      </c>
      <c r="D324" s="35">
        <v>185</v>
      </c>
      <c r="E324" s="33" t="str">
        <f>VLOOKUP(D324,[1]apoio_Preços_MGS!$A$6:$F$238,6,FALSE)</f>
        <v>FRENTISTA - (PERIC.) - DIARISTA DIURNO - 40H</v>
      </c>
      <c r="F324" s="36">
        <f>IFERROR(VLOOKUP(D324,'[1]apoio_cód catmas'!$B$2:$C$863,2,FALSE),0)</f>
        <v>63541</v>
      </c>
      <c r="G324" s="33" t="str">
        <f>IF(H324="N/A",VLOOKUP(F324&amp;40,'[1]apoio_cód catmas'!$A$1:$G$233,4,FALSE),VLOOKUP(F324&amp;H324,'[1]apoio_cód catmas'!$A$1:$G$233,4,FALSE))</f>
        <v>FRENTISTA (PERICULOSIDADE) - 40H</v>
      </c>
      <c r="H324" s="36">
        <v>40</v>
      </c>
      <c r="I324" s="37">
        <v>0.05</v>
      </c>
      <c r="J324" s="38" t="s">
        <v>46</v>
      </c>
      <c r="K324" s="39">
        <f>14-K325</f>
        <v>4</v>
      </c>
      <c r="L324" s="39">
        <f t="shared" si="113"/>
        <v>240</v>
      </c>
      <c r="M324" s="40">
        <f>VLOOKUP(D324,[1]apoio_Preços_MGS!$A$6:$AN$238,18,FALSE)</f>
        <v>1782.303267155173</v>
      </c>
      <c r="N324" s="40">
        <f>VLOOKUP(D324,[1]apoio_Preços_MGS!$A$6:$AN$238,19,FALSE)</f>
        <v>534.69098014655185</v>
      </c>
      <c r="O324" s="40">
        <f>VLOOKUP(D324,[1]apoio_Preços_MGS!$A$6:$AN$238,20,FALSE)</f>
        <v>0</v>
      </c>
      <c r="P324" s="40">
        <f>VLOOKUP(D324,[1]apoio_Preços_MGS!$A$6:$AN$238,21,FALSE)</f>
        <v>0</v>
      </c>
      <c r="Q324" s="40">
        <f>VLOOKUP(D324,[1]apoio_Preços_MGS!$A$6:$AN$238,22,FALSE)</f>
        <v>0</v>
      </c>
      <c r="R324" s="40">
        <f>VLOOKUP(D324,[1]apoio_Preços_MGS!$A$6:$AN$238,23,FALSE)</f>
        <v>0</v>
      </c>
      <c r="S324" s="40">
        <f>VLOOKUP(D324,[1]apoio_Preços_MGS!$A$6:$AN$238,24,FALSE)</f>
        <v>0</v>
      </c>
      <c r="T324" s="40">
        <f>VLOOKUP(D324,[1]apoio_Preços_MGS!$A$6:$AN$238,25,FALSE)</f>
        <v>0</v>
      </c>
      <c r="U324" s="40">
        <f t="shared" si="171"/>
        <v>2316.994247301725</v>
      </c>
      <c r="V324" s="41">
        <v>0.81799999999999995</v>
      </c>
      <c r="W324" s="40">
        <f t="shared" si="172"/>
        <v>1895.301294292811</v>
      </c>
      <c r="X324" s="40">
        <f>VLOOKUP(D324,[1]apoio_Preços_MGS!$A$6:$AN$238,29,FALSE)</f>
        <v>19.18</v>
      </c>
      <c r="Y324" s="40">
        <f>VLOOKUP(D324,[1]apoio_Preços_MGS!$A$6:$AN$238,30,FALSE)</f>
        <v>27.826082375478929</v>
      </c>
      <c r="Z324" s="40">
        <f t="shared" si="116"/>
        <v>47.006082375478925</v>
      </c>
      <c r="AA324" s="40">
        <f>VLOOKUP(D324,[1]apoio_Preços_MGS!$A$6:$AN$238,32,FALSE)</f>
        <v>3.4220222729379319</v>
      </c>
      <c r="AB324" s="40">
        <f>VLOOKUP(D324,[1]apoio_Preços_MGS!$A$6:$AN$238,33,FALSE)</f>
        <v>283.14369905956107</v>
      </c>
      <c r="AC324" s="41">
        <f>VLOOKUP(D324,[1]apoio_Preços_MGS!$A$6:$AN$238,34,FALSE)</f>
        <v>3.3884442564035333E-2</v>
      </c>
      <c r="AD324" s="40">
        <f>(U324+W324+Z324+AB324+AA324+VLOOKUP(C324,[1]apoio_Prec_Folha!$A:$S,7,FALSE))*AC324</f>
        <v>172.40952721945456</v>
      </c>
      <c r="AE324" s="42">
        <f>VLOOKUP(D324,[1]apoio_Preços_MGS!$A$6:$AN$238,36,FALSE)</f>
        <v>7.0000000000000007E-2</v>
      </c>
      <c r="AF324" s="40">
        <f>(U324+W324+Z324+AB324+AD324+AA324+VLOOKUP(C324,[1]apoio_Prec_Folha!$A:$S,7,FALSE))*AE324</f>
        <v>368.23999486964135</v>
      </c>
      <c r="AG324" s="40">
        <f t="shared" si="117"/>
        <v>5086.51</v>
      </c>
      <c r="AH324" s="43">
        <f t="shared" si="118"/>
        <v>5931.78</v>
      </c>
      <c r="AI324" s="43">
        <f t="shared" si="119"/>
        <v>23727.119999999999</v>
      </c>
      <c r="AJ324" s="43">
        <f t="shared" si="120"/>
        <v>1423627.2</v>
      </c>
      <c r="AK324" s="44">
        <f>VLOOKUP(D324,[1]apoio_Preços_MGS!$A$6:$AN$238,39,FALSE)</f>
        <v>181.81818181818184</v>
      </c>
      <c r="AL324" s="44">
        <f>IF(J324="demais municípios",VLOOKUP(D324,[1]apoio_Preços_MGS!$A$6:$AN$238,39,FALSE),0)</f>
        <v>181.81818181818184</v>
      </c>
      <c r="AM324" s="44">
        <v>0</v>
      </c>
      <c r="AN324" s="45">
        <f t="shared" si="182"/>
        <v>727.27272727272737</v>
      </c>
      <c r="AO324" s="44">
        <f>VLOOKUP(D324,[1]apoio_Preços_MGS!$A$6:$AN$238,40,FALSE)</f>
        <v>542.29</v>
      </c>
      <c r="AP324" s="44">
        <f>IF(J324="demais municípios",VLOOKUP(D324,[1]apoio_Preços_MGS!$A$6:$AN$238,40,FALSE),0)</f>
        <v>542.29</v>
      </c>
      <c r="AQ324" s="44">
        <v>0</v>
      </c>
      <c r="AR324" s="45">
        <f t="shared" si="183"/>
        <v>2169.16</v>
      </c>
      <c r="AS324" s="45">
        <f t="shared" si="127"/>
        <v>2896.4327272727273</v>
      </c>
      <c r="AT324" s="45">
        <f t="shared" si="128"/>
        <v>173785.96363636365</v>
      </c>
      <c r="AU324" s="62"/>
      <c r="AV324" s="46"/>
      <c r="AW324" s="47"/>
      <c r="AX324" s="48"/>
      <c r="AY324" s="49"/>
      <c r="BA324" s="48"/>
    </row>
    <row r="325" spans="1:53" ht="19.5" customHeight="1" x14ac:dyDescent="0.25">
      <c r="A325" s="33" t="str">
        <f t="shared" si="184"/>
        <v>63541400,05</v>
      </c>
      <c r="B325" s="33" t="str">
        <f t="shared" si="185"/>
        <v>1850,05</v>
      </c>
      <c r="C325" s="34" t="str">
        <f>VLOOKUP(D325,[1]apoio_Preços_MGS!$A$6:$B$238,2,FALSE)</f>
        <v>FRENTISTA</v>
      </c>
      <c r="D325" s="35">
        <v>185</v>
      </c>
      <c r="E325" s="33" t="str">
        <f>VLOOKUP(D325,[1]apoio_Preços_MGS!$A$6:$F$238,6,FALSE)</f>
        <v>FRENTISTA - (PERIC.) - DIARISTA DIURNO - 40H</v>
      </c>
      <c r="F325" s="36">
        <f>IFERROR(VLOOKUP(D325,'[1]apoio_cód catmas'!$B$2:$C$863,2,FALSE),0)</f>
        <v>63541</v>
      </c>
      <c r="G325" s="33" t="str">
        <f>IF(H325="N/A",VLOOKUP(F325&amp;40,'[1]apoio_cód catmas'!$A$1:$G$233,4,FALSE),VLOOKUP(F325&amp;H325,'[1]apoio_cód catmas'!$A$1:$G$233,4,FALSE))</f>
        <v>FRENTISTA (PERICULOSIDADE) - 40H</v>
      </c>
      <c r="H325" s="36">
        <v>40</v>
      </c>
      <c r="I325" s="37">
        <v>0.05</v>
      </c>
      <c r="J325" s="38" t="s">
        <v>47</v>
      </c>
      <c r="K325" s="39">
        <v>10</v>
      </c>
      <c r="L325" s="39">
        <f t="shared" si="113"/>
        <v>600</v>
      </c>
      <c r="M325" s="40">
        <f>VLOOKUP(D325,[1]apoio_Preços_MGS!$A$6:$AN$238,18,FALSE)</f>
        <v>1782.303267155173</v>
      </c>
      <c r="N325" s="40">
        <f>VLOOKUP(D325,[1]apoio_Preços_MGS!$A$6:$AN$238,19,FALSE)</f>
        <v>534.69098014655185</v>
      </c>
      <c r="O325" s="40">
        <f>VLOOKUP(D325,[1]apoio_Preços_MGS!$A$6:$AN$238,20,FALSE)</f>
        <v>0</v>
      </c>
      <c r="P325" s="40">
        <f>VLOOKUP(D325,[1]apoio_Preços_MGS!$A$6:$AN$238,21,FALSE)</f>
        <v>0</v>
      </c>
      <c r="Q325" s="40">
        <f>VLOOKUP(D325,[1]apoio_Preços_MGS!$A$6:$AN$238,22,FALSE)</f>
        <v>0</v>
      </c>
      <c r="R325" s="40">
        <f>VLOOKUP(D325,[1]apoio_Preços_MGS!$A$6:$AN$238,23,FALSE)</f>
        <v>0</v>
      </c>
      <c r="S325" s="40">
        <f>VLOOKUP(D325,[1]apoio_Preços_MGS!$A$6:$AN$238,24,FALSE)</f>
        <v>0</v>
      </c>
      <c r="T325" s="40">
        <f>VLOOKUP(D325,[1]apoio_Preços_MGS!$A$6:$AN$238,25,FALSE)</f>
        <v>0</v>
      </c>
      <c r="U325" s="40">
        <f t="shared" si="171"/>
        <v>2316.994247301725</v>
      </c>
      <c r="V325" s="41">
        <v>0.81799999999999995</v>
      </c>
      <c r="W325" s="40">
        <f t="shared" si="172"/>
        <v>1895.301294292811</v>
      </c>
      <c r="X325" s="40">
        <f>VLOOKUP(D325,[1]apoio_Preços_MGS!$A$6:$AN$238,29,FALSE)</f>
        <v>19.18</v>
      </c>
      <c r="Y325" s="40">
        <f>VLOOKUP(D325,[1]apoio_Preços_MGS!$A$6:$AN$238,30,FALSE)</f>
        <v>27.826082375478929</v>
      </c>
      <c r="Z325" s="40">
        <f t="shared" si="116"/>
        <v>47.006082375478925</v>
      </c>
      <c r="AA325" s="40">
        <f>VLOOKUP(D325,[1]apoio_Preços_MGS!$A$6:$AN$238,32,FALSE)</f>
        <v>3.4220222729379319</v>
      </c>
      <c r="AB325" s="40">
        <f>VLOOKUP(D325,[1]apoio_Preços_MGS!$A$6:$AN$238,33,FALSE)</f>
        <v>283.14369905956107</v>
      </c>
      <c r="AC325" s="41">
        <f>VLOOKUP(D325,[1]apoio_Preços_MGS!$A$6:$AN$238,34,FALSE)</f>
        <v>3.3884442564035333E-2</v>
      </c>
      <c r="AD325" s="40">
        <f>(U325+W325+Z325+AB325+AA325+VLOOKUP(C325,[1]apoio_Prec_Folha!$A:$S,7,FALSE))*AC325</f>
        <v>172.40952721945456</v>
      </c>
      <c r="AE325" s="42">
        <f>VLOOKUP(D325,[1]apoio_Preços_MGS!$A$6:$AN$238,36,FALSE)</f>
        <v>7.0000000000000007E-2</v>
      </c>
      <c r="AF325" s="40">
        <f>(U325+W325+Z325+AB325+AD325+AA325+VLOOKUP(C325,[1]apoio_Prec_Folha!$A:$S,7,FALSE))*AE325</f>
        <v>368.23999486964135</v>
      </c>
      <c r="AG325" s="40">
        <f t="shared" si="117"/>
        <v>5086.51</v>
      </c>
      <c r="AH325" s="43">
        <f t="shared" si="118"/>
        <v>5931.78</v>
      </c>
      <c r="AI325" s="43">
        <f t="shared" si="119"/>
        <v>59317.799999999996</v>
      </c>
      <c r="AJ325" s="43">
        <f t="shared" si="120"/>
        <v>3559068</v>
      </c>
      <c r="AK325" s="44">
        <f>VLOOKUP(D325,[1]apoio_Preços_MGS!$A$6:$AN$238,39,FALSE)</f>
        <v>181.81818181818184</v>
      </c>
      <c r="AL325" s="44">
        <f>IF(J325="demais municípios",VLOOKUP(D325,[1]apoio_Preços_MGS!$A$6:$AN$238,39,FALSE),0)</f>
        <v>0</v>
      </c>
      <c r="AM325" s="44">
        <f>TRUNC(ROUND(($I325)/(1-($I325)),5)*VLOOKUP(D325,[1]apoio_Preços_MGS!$A$6:$AN$238,39,FALSE)+VLOOKUP(D325,[1]apoio_Preços_MGS!$A$6:$AN$238,39,FALSE),2)</f>
        <v>191.38</v>
      </c>
      <c r="AN325" s="45">
        <f t="shared" ref="AN325:AN388" si="186">AM325*K325</f>
        <v>1913.8</v>
      </c>
      <c r="AO325" s="44">
        <f>VLOOKUP(D325,[1]apoio_Preços_MGS!$A$6:$AN$238,40,FALSE)</f>
        <v>542.29</v>
      </c>
      <c r="AP325" s="44">
        <f>IF(J325="demais municípios",VLOOKUP(D325,[1]apoio_Preços_MGS!$A$6:$AN$238,40,FALSE),0)</f>
        <v>0</v>
      </c>
      <c r="AQ325" s="44">
        <f>TRUNC(ROUND(($I325)/(1-($I325)),5)*VLOOKUP(D325,[1]apoio_Preços_MGS!$A$6:$AN$238,40,FALSE)+VLOOKUP(D325,[1]apoio_Preços_MGS!$A$6:$AN$238,40,FALSE),2)</f>
        <v>570.83000000000004</v>
      </c>
      <c r="AR325" s="45">
        <f t="shared" ref="AR325:AR388" si="187">AQ325*K325</f>
        <v>5708.3</v>
      </c>
      <c r="AS325" s="45">
        <f t="shared" ref="AS325:AS389" si="188">AN325+AR325</f>
        <v>7622.1</v>
      </c>
      <c r="AT325" s="45">
        <f t="shared" si="128"/>
        <v>457326</v>
      </c>
      <c r="AU325" s="62"/>
      <c r="AV325" s="46"/>
      <c r="AW325" s="47"/>
      <c r="AX325" s="48"/>
      <c r="AY325" s="49"/>
      <c r="BA325" s="48"/>
    </row>
    <row r="326" spans="1:53" ht="19.5" customHeight="1" x14ac:dyDescent="0.25">
      <c r="A326" s="33" t="str">
        <f t="shared" si="184"/>
        <v>63568440,05</v>
      </c>
      <c r="B326" s="33" t="str">
        <f t="shared" si="185"/>
        <v>1990,05</v>
      </c>
      <c r="C326" s="34" t="str">
        <f>VLOOKUP(D326,[1]apoio_Preços_MGS!$A$6:$B$238,2,FALSE)</f>
        <v>GARÇOM</v>
      </c>
      <c r="D326" s="35">
        <v>199</v>
      </c>
      <c r="E326" s="33" t="str">
        <f>VLOOKUP(D326,[1]apoio_Preços_MGS!$A$6:$F$238,6,FALSE)</f>
        <v>GARÇOM - 12x36 DIURNO - 44H</v>
      </c>
      <c r="F326" s="36">
        <f>IFERROR(VLOOKUP(D326,'[1]apoio_cód catmas'!$B$2:$C$863,2,FALSE),0)</f>
        <v>63568</v>
      </c>
      <c r="G326" s="33" t="str">
        <f>IF(H326="N/A",VLOOKUP(F326&amp;40,'[1]apoio_cód catmas'!$A$1:$G$233,4,FALSE),VLOOKUP(F326&amp;H326,'[1]apoio_cód catmas'!$A$1:$G$233,4,FALSE))</f>
        <v>GARCOM - 12X36 DIURNO - 44H</v>
      </c>
      <c r="H326" s="36">
        <v>44</v>
      </c>
      <c r="I326" s="37">
        <v>0.05</v>
      </c>
      <c r="J326" s="38" t="s">
        <v>47</v>
      </c>
      <c r="K326" s="39">
        <v>5</v>
      </c>
      <c r="L326" s="39">
        <f t="shared" si="113"/>
        <v>300</v>
      </c>
      <c r="M326" s="40">
        <f>VLOOKUP(D326,[1]apoio_Preços_MGS!$A$6:$AN$238,18,FALSE)</f>
        <v>3397.1390304347829</v>
      </c>
      <c r="N326" s="40">
        <f>VLOOKUP(D326,[1]apoio_Preços_MGS!$A$6:$AN$238,19,FALSE)</f>
        <v>0</v>
      </c>
      <c r="O326" s="40">
        <f>VLOOKUP(D326,[1]apoio_Preços_MGS!$A$6:$AN$238,20,FALSE)</f>
        <v>0</v>
      </c>
      <c r="P326" s="40">
        <f>VLOOKUP(D326,[1]apoio_Preços_MGS!$A$6:$AN$238,21,FALSE)</f>
        <v>0</v>
      </c>
      <c r="Q326" s="40">
        <f>VLOOKUP(D326,[1]apoio_Preços_MGS!$A$6:$AN$238,22,FALSE)</f>
        <v>0</v>
      </c>
      <c r="R326" s="40">
        <f>VLOOKUP(D326,[1]apoio_Preços_MGS!$A$6:$AN$238,23,FALSE)</f>
        <v>0</v>
      </c>
      <c r="S326" s="40">
        <f>VLOOKUP(D326,[1]apoio_Preços_MGS!$A$6:$AN$238,24,FALSE)</f>
        <v>0</v>
      </c>
      <c r="T326" s="40">
        <f>VLOOKUP(D326,[1]apoio_Preços_MGS!$A$6:$AN$238,25,FALSE)</f>
        <v>4.718248653381643</v>
      </c>
      <c r="U326" s="40">
        <f t="shared" si="171"/>
        <v>3401.8572790881644</v>
      </c>
      <c r="V326" s="41">
        <v>0.81799999999999995</v>
      </c>
      <c r="W326" s="40">
        <f t="shared" si="172"/>
        <v>2782.7192542941184</v>
      </c>
      <c r="X326" s="40">
        <f>VLOOKUP(D326,[1]apoio_Preços_MGS!$A$6:$AN$238,29,FALSE)</f>
        <v>61.998333333333335</v>
      </c>
      <c r="Y326" s="40">
        <f>VLOOKUP(D326,[1]apoio_Preços_MGS!$A$6:$AN$238,30,FALSE)</f>
        <v>0</v>
      </c>
      <c r="Z326" s="40">
        <f t="shared" si="116"/>
        <v>61.998333333333335</v>
      </c>
      <c r="AA326" s="40">
        <f>VLOOKUP(D326,[1]apoio_Preços_MGS!$A$6:$AN$238,32,FALSE)</f>
        <v>6.5225069384347822</v>
      </c>
      <c r="AB326" s="40">
        <f>VLOOKUP(D326,[1]apoio_Preços_MGS!$A$6:$AN$238,33,FALSE)</f>
        <v>154.63640000000004</v>
      </c>
      <c r="AC326" s="41">
        <f>VLOOKUP(D326,[1]apoio_Preços_MGS!$A$6:$AN$238,34,FALSE)</f>
        <v>3.2407836510060628E-2</v>
      </c>
      <c r="AD326" s="40">
        <f>(U326+W326+Z326+AB326+AA326+VLOOKUP(C326,[1]apoio_Prec_Folha!$A:$S,7,FALSE))*AC326</f>
        <v>225.53630299879356</v>
      </c>
      <c r="AE326" s="42">
        <f>VLOOKUP(D326,[1]apoio_Preços_MGS!$A$6:$AN$238,36,FALSE)</f>
        <v>7.0000000000000007E-2</v>
      </c>
      <c r="AF326" s="40">
        <f>(U326+W326+Z326+AB326+AD326+AA326+VLOOKUP(C326,[1]apoio_Prec_Folha!$A:$S,7,FALSE))*AE326</f>
        <v>502.93950536569918</v>
      </c>
      <c r="AG326" s="40">
        <f t="shared" si="117"/>
        <v>7136.2</v>
      </c>
      <c r="AH326" s="43">
        <f t="shared" si="118"/>
        <v>8322.09</v>
      </c>
      <c r="AI326" s="43">
        <f t="shared" si="119"/>
        <v>41610.449999999997</v>
      </c>
      <c r="AJ326" s="43">
        <f t="shared" si="120"/>
        <v>2496627</v>
      </c>
      <c r="AK326" s="44">
        <f>VLOOKUP(D326,[1]apoio_Preços_MGS!$A$6:$AN$238,39,FALSE)</f>
        <v>200.00000000000003</v>
      </c>
      <c r="AL326" s="44">
        <f>IF(J326="demais municípios",VLOOKUP(D326,[1]apoio_Preços_MGS!$A$6:$AN$238,39,FALSE),0)</f>
        <v>0</v>
      </c>
      <c r="AM326" s="44">
        <f>TRUNC(ROUND(($I326)/(1-($I326)),5)*VLOOKUP(D326,[1]apoio_Preços_MGS!$A$6:$AN$238,39,FALSE)+VLOOKUP(D326,[1]apoio_Preços_MGS!$A$6:$AN$238,39,FALSE),2)</f>
        <v>210.52</v>
      </c>
      <c r="AN326" s="45">
        <f t="shared" si="186"/>
        <v>1052.6000000000001</v>
      </c>
      <c r="AO326" s="44">
        <f>VLOOKUP(D326,[1]apoio_Preços_MGS!$A$6:$AN$238,40,FALSE)</f>
        <v>551.58000000000004</v>
      </c>
      <c r="AP326" s="44">
        <f>IF(J326="demais municípios",VLOOKUP(D326,[1]apoio_Preços_MGS!$A$6:$AN$238,40,FALSE),0)</f>
        <v>0</v>
      </c>
      <c r="AQ326" s="44">
        <f>TRUNC(ROUND(($I326)/(1-($I326)),5)*VLOOKUP(D326,[1]apoio_Preços_MGS!$A$6:$AN$238,40,FALSE)+VLOOKUP(D326,[1]apoio_Preços_MGS!$A$6:$AN$238,40,FALSE),2)</f>
        <v>580.6</v>
      </c>
      <c r="AR326" s="45">
        <f t="shared" si="187"/>
        <v>2903</v>
      </c>
      <c r="AS326" s="45">
        <f t="shared" si="188"/>
        <v>3955.6000000000004</v>
      </c>
      <c r="AT326" s="45">
        <f t="shared" ref="AT326:AT390" si="189">(AN326+AR326)*60</f>
        <v>237336.00000000003</v>
      </c>
      <c r="AU326" s="62"/>
      <c r="AV326" s="46"/>
      <c r="AW326" s="47"/>
      <c r="AX326" s="48"/>
      <c r="AY326" s="49"/>
      <c r="BA326" s="48"/>
    </row>
    <row r="327" spans="1:53" ht="19.5" customHeight="1" x14ac:dyDescent="0.25">
      <c r="A327" s="33" t="str">
        <f t="shared" si="184"/>
        <v>156825400,05</v>
      </c>
      <c r="B327" s="33" t="str">
        <f t="shared" si="185"/>
        <v>20100,05</v>
      </c>
      <c r="C327" s="34" t="str">
        <f>VLOOKUP(D327,[1]apoio_Preços_MGS!$A$6:$B$238,2,FALSE)</f>
        <v>GESTOR OPERACIONAL</v>
      </c>
      <c r="D327" s="35">
        <v>2010</v>
      </c>
      <c r="E327" s="33" t="str">
        <f>VLOOKUP(D327,[1]apoio_Preços_MGS!$A$6:$F$238,6,FALSE)</f>
        <v>GESTOR OPERACIONAL - DIARISTA DIURNO</v>
      </c>
      <c r="F327" s="36">
        <f>IFERROR(VLOOKUP(D327,'[1]apoio_cód catmas'!$B$2:$C$863,2,FALSE),0)</f>
        <v>156825</v>
      </c>
      <c r="G327" s="33" t="str">
        <f>IF(H327="N/A",VLOOKUP(F327&amp;40,'[1]apoio_cód catmas'!$A$1:$G$233,4,FALSE),VLOOKUP(F327&amp;H327,'[1]apoio_cód catmas'!$A$1:$G$233,4,FALSE))</f>
        <v>GESTOR OPERACIONAL - 40H OU 44H</v>
      </c>
      <c r="H327" s="36">
        <v>40</v>
      </c>
      <c r="I327" s="37">
        <v>0.05</v>
      </c>
      <c r="J327" s="38" t="s">
        <v>47</v>
      </c>
      <c r="K327" s="39">
        <v>20</v>
      </c>
      <c r="L327" s="39">
        <f>K327*54</f>
        <v>1080</v>
      </c>
      <c r="M327" s="40">
        <f>VLOOKUP(D327,[1]apoio_Preços_MGS!$A$6:$AN$238,18,FALSE)</f>
        <v>6190.5104651162783</v>
      </c>
      <c r="N327" s="40">
        <f>VLOOKUP(D327,[1]apoio_Preços_MGS!$A$6:$AN$238,19,FALSE)</f>
        <v>0</v>
      </c>
      <c r="O327" s="40">
        <f>VLOOKUP(D327,[1]apoio_Preços_MGS!$A$6:$AN$238,20,FALSE)</f>
        <v>0</v>
      </c>
      <c r="P327" s="40">
        <f>VLOOKUP(D327,[1]apoio_Preços_MGS!$A$6:$AN$238,21,FALSE)</f>
        <v>0</v>
      </c>
      <c r="Q327" s="40">
        <f>VLOOKUP(D327,[1]apoio_Preços_MGS!$A$6:$AN$238,22,FALSE)</f>
        <v>0</v>
      </c>
      <c r="R327" s="40">
        <f>VLOOKUP(D327,[1]apoio_Preços_MGS!$A$6:$AN$238,23,FALSE)</f>
        <v>0</v>
      </c>
      <c r="S327" s="40">
        <f>VLOOKUP(D327,[1]apoio_Preços_MGS!$A$6:$AN$238,24,FALSE)</f>
        <v>0</v>
      </c>
      <c r="T327" s="40">
        <f>VLOOKUP(D327,[1]apoio_Preços_MGS!$A$6:$AN$238,25,FALSE)</f>
        <v>0</v>
      </c>
      <c r="U327" s="40">
        <f t="shared" si="171"/>
        <v>6190.5104651162783</v>
      </c>
      <c r="V327" s="41">
        <v>0.81799999999999995</v>
      </c>
      <c r="W327" s="40">
        <f t="shared" si="172"/>
        <v>5063.8375604651155</v>
      </c>
      <c r="X327" s="40">
        <f>VLOOKUP(D327,[1]apoio_Preços_MGS!$A$6:$AN$238,29,FALSE)</f>
        <v>0</v>
      </c>
      <c r="Y327" s="40">
        <f>VLOOKUP(D327,[1]apoio_Preços_MGS!$A$6:$AN$238,30,FALSE)</f>
        <v>0</v>
      </c>
      <c r="Z327" s="40">
        <f t="shared" si="116"/>
        <v>0</v>
      </c>
      <c r="AA327" s="40">
        <f>VLOOKUP(D327,[1]apoio_Preços_MGS!$A$6:$AN$238,32,FALSE)</f>
        <v>9.6</v>
      </c>
      <c r="AB327" s="40">
        <f>VLOOKUP(D327,[1]apoio_Preços_MGS!$A$6:$AN$238,33,FALSE)</f>
        <v>41.997107438016528</v>
      </c>
      <c r="AC327" s="41">
        <f>VLOOKUP(D327,[1]apoio_Preços_MGS!$A$6:$AN$238,34,FALSE)</f>
        <v>0</v>
      </c>
      <c r="AD327" s="40">
        <f>(U327+W327+Z327+AB327+AA327+VLOOKUP(C327,[1]apoio_Prec_Folha!$A:$S,7,FALSE))*AC327</f>
        <v>0</v>
      </c>
      <c r="AE327" s="42">
        <f>VLOOKUP(D327,[1]apoio_Preços_MGS!$A$6:$AN$238,36,FALSE)</f>
        <v>7.0000000000000007E-2</v>
      </c>
      <c r="AF327" s="40">
        <f>(U327+W327+Z327+AB327+AD327+AA327+VLOOKUP(C327,[1]apoio_Prec_Folha!$A:$S,7,FALSE))*AE327</f>
        <v>829.72661840226795</v>
      </c>
      <c r="AG327" s="40">
        <f t="shared" si="117"/>
        <v>12135.67</v>
      </c>
      <c r="AH327" s="43">
        <f t="shared" si="118"/>
        <v>14152.37</v>
      </c>
      <c r="AI327" s="43">
        <f t="shared" si="119"/>
        <v>283047.40000000002</v>
      </c>
      <c r="AJ327" s="43">
        <f t="shared" si="120"/>
        <v>15284559.600000001</v>
      </c>
      <c r="AK327" s="44">
        <f>VLOOKUP(D327,[1]apoio_Preços_MGS!$A$6:$AN$238,39,FALSE)</f>
        <v>181.81818181818184</v>
      </c>
      <c r="AL327" s="44">
        <f>IF(J327="demais municípios",VLOOKUP(D327,[1]apoio_Preços_MGS!$A$6:$AN$238,39,FALSE),0)</f>
        <v>0</v>
      </c>
      <c r="AM327" s="44">
        <f>TRUNC(ROUND(($I327)/(1-($I327)),5)*VLOOKUP(D327,[1]apoio_Preços_MGS!$A$6:$AN$238,39,FALSE)+VLOOKUP(D327,[1]apoio_Preços_MGS!$A$6:$AN$238,39,FALSE),2)</f>
        <v>191.38</v>
      </c>
      <c r="AN327" s="45">
        <f t="shared" si="186"/>
        <v>3827.6</v>
      </c>
      <c r="AO327" s="44">
        <f>VLOOKUP(D327,[1]apoio_Preços_MGS!$A$6:$AN$238,40,FALSE)</f>
        <v>547.29</v>
      </c>
      <c r="AP327" s="44">
        <f>IF(J327="demais municípios",VLOOKUP(D327,[1]apoio_Preços_MGS!$A$6:$AN$238,40,FALSE),0)</f>
        <v>0</v>
      </c>
      <c r="AQ327" s="44">
        <f>TRUNC(ROUND(($I327)/(1-($I327)),5)*VLOOKUP(D327,[1]apoio_Preços_MGS!$A$6:$AN$238,40,FALSE)+VLOOKUP(D327,[1]apoio_Preços_MGS!$A$6:$AN$238,40,FALSE),2)</f>
        <v>576.09</v>
      </c>
      <c r="AR327" s="45">
        <f t="shared" si="187"/>
        <v>11521.800000000001</v>
      </c>
      <c r="AS327" s="45">
        <f t="shared" si="188"/>
        <v>15349.400000000001</v>
      </c>
      <c r="AT327" s="45">
        <f t="shared" si="189"/>
        <v>920964.00000000012</v>
      </c>
      <c r="AU327" s="62"/>
      <c r="AV327" s="46"/>
      <c r="AW327" s="47"/>
      <c r="AX327" s="48"/>
      <c r="AY327" s="49"/>
      <c r="BA327" s="48"/>
    </row>
    <row r="328" spans="1:53" ht="19.5" customHeight="1" x14ac:dyDescent="0.25">
      <c r="A328" s="33" t="str">
        <f t="shared" si="184"/>
        <v>64084400,05</v>
      </c>
      <c r="B328" s="33" t="str">
        <f t="shared" si="185"/>
        <v>1960,05</v>
      </c>
      <c r="C328" s="34" t="str">
        <f>VLOOKUP(D328,[1]apoio_Preços_MGS!$A$6:$B$238,2,FALSE)</f>
        <v>GARÇOM</v>
      </c>
      <c r="D328" s="35">
        <v>196</v>
      </c>
      <c r="E328" s="33" t="str">
        <f>VLOOKUP(D328,[1]apoio_Preços_MGS!$A$6:$F$238,6,FALSE)</f>
        <v>GARÇOM - DIARISTA DIURNO - 40H</v>
      </c>
      <c r="F328" s="36">
        <f>IFERROR(VLOOKUP(D328,'[1]apoio_cód catmas'!$B$2:$C$863,2,FALSE),0)</f>
        <v>64084</v>
      </c>
      <c r="G328" s="33" t="str">
        <f>IF(H328="N/A",VLOOKUP(F328&amp;40,'[1]apoio_cód catmas'!$A$1:$G$233,4,FALSE),VLOOKUP(F328&amp;H328,'[1]apoio_cód catmas'!$A$1:$G$233,4,FALSE))</f>
        <v>GARCOM - 30H, 40H OU 44H</v>
      </c>
      <c r="H328" s="36">
        <v>40</v>
      </c>
      <c r="I328" s="37">
        <v>0.05</v>
      </c>
      <c r="J328" s="38" t="s">
        <v>47</v>
      </c>
      <c r="K328" s="39">
        <v>17</v>
      </c>
      <c r="L328" s="39">
        <f t="shared" si="113"/>
        <v>1020</v>
      </c>
      <c r="M328" s="40">
        <f>VLOOKUP(D328,[1]apoio_Preços_MGS!$A$6:$AN$238,18,FALSE)</f>
        <v>3088.3082094861666</v>
      </c>
      <c r="N328" s="40">
        <f>VLOOKUP(D328,[1]apoio_Preços_MGS!$A$6:$AN$238,19,FALSE)</f>
        <v>0</v>
      </c>
      <c r="O328" s="40">
        <f>VLOOKUP(D328,[1]apoio_Preços_MGS!$A$6:$AN$238,20,FALSE)</f>
        <v>0</v>
      </c>
      <c r="P328" s="40">
        <f>VLOOKUP(D328,[1]apoio_Preços_MGS!$A$6:$AN$238,21,FALSE)</f>
        <v>0</v>
      </c>
      <c r="Q328" s="40">
        <f>VLOOKUP(D328,[1]apoio_Preços_MGS!$A$6:$AN$238,22,FALSE)</f>
        <v>0</v>
      </c>
      <c r="R328" s="40">
        <f>VLOOKUP(D328,[1]apoio_Preços_MGS!$A$6:$AN$238,23,FALSE)</f>
        <v>0</v>
      </c>
      <c r="S328" s="40">
        <f>VLOOKUP(D328,[1]apoio_Preços_MGS!$A$6:$AN$238,24,FALSE)</f>
        <v>0</v>
      </c>
      <c r="T328" s="40">
        <f>VLOOKUP(D328,[1]apoio_Preços_MGS!$A$6:$AN$238,25,FALSE)</f>
        <v>0</v>
      </c>
      <c r="U328" s="40">
        <f t="shared" si="171"/>
        <v>3088.3082094861666</v>
      </c>
      <c r="V328" s="41">
        <v>0.81799999999999995</v>
      </c>
      <c r="W328" s="40">
        <f t="shared" si="172"/>
        <v>2526.2361153596839</v>
      </c>
      <c r="X328" s="40">
        <f>VLOOKUP(D328,[1]apoio_Preços_MGS!$A$6:$AN$238,29,FALSE)</f>
        <v>61.998333333333335</v>
      </c>
      <c r="Y328" s="40">
        <f>VLOOKUP(D328,[1]apoio_Preços_MGS!$A$6:$AN$238,30,FALSE)</f>
        <v>0</v>
      </c>
      <c r="Z328" s="40">
        <f t="shared" si="116"/>
        <v>61.998333333333335</v>
      </c>
      <c r="AA328" s="40">
        <f>VLOOKUP(D328,[1]apoio_Preços_MGS!$A$6:$AN$238,32,FALSE)</f>
        <v>5.929551762213439</v>
      </c>
      <c r="AB328" s="40">
        <f>VLOOKUP(D328,[1]apoio_Preços_MGS!$A$6:$AN$238,33,FALSE)</f>
        <v>166.14122213438742</v>
      </c>
      <c r="AC328" s="41">
        <f>VLOOKUP(D328,[1]apoio_Preços_MGS!$A$6:$AN$238,34,FALSE)</f>
        <v>3.2407836510060628E-2</v>
      </c>
      <c r="AD328" s="40">
        <f>(U328+W328+Z328+AB328+AA328+VLOOKUP(C328,[1]apoio_Prec_Folha!$A:$S,7,FALSE))*AC328</f>
        <v>207.41642237947582</v>
      </c>
      <c r="AE328" s="42">
        <f>VLOOKUP(D328,[1]apoio_Preços_MGS!$A$6:$AN$238,36,FALSE)</f>
        <v>7.0000000000000007E-2</v>
      </c>
      <c r="AF328" s="40">
        <f>(U328+W328+Z328+AB328+AD328+AA328+VLOOKUP(C328,[1]apoio_Prec_Folha!$A:$S,7,FALSE))*AE328</f>
        <v>462.53268981186824</v>
      </c>
      <c r="AG328" s="40">
        <f t="shared" si="117"/>
        <v>6518.56</v>
      </c>
      <c r="AH328" s="43">
        <f t="shared" si="118"/>
        <v>7601.81</v>
      </c>
      <c r="AI328" s="43">
        <f t="shared" si="119"/>
        <v>129230.77</v>
      </c>
      <c r="AJ328" s="43">
        <f t="shared" si="120"/>
        <v>7753846.2000000002</v>
      </c>
      <c r="AK328" s="44">
        <f>VLOOKUP(D328,[1]apoio_Preços_MGS!$A$6:$AN$238,39,FALSE)</f>
        <v>181.81818181818184</v>
      </c>
      <c r="AL328" s="44">
        <f>IF(J328="demais municípios",VLOOKUP(D328,[1]apoio_Preços_MGS!$A$6:$AN$238,39,FALSE),0)</f>
        <v>0</v>
      </c>
      <c r="AM328" s="44">
        <f>TRUNC(ROUND(($I328)/(1-($I328)),5)*VLOOKUP(D328,[1]apoio_Preços_MGS!$A$6:$AN$238,39,FALSE)+VLOOKUP(D328,[1]apoio_Preços_MGS!$A$6:$AN$238,39,FALSE),2)</f>
        <v>191.38</v>
      </c>
      <c r="AN328" s="45">
        <f t="shared" si="186"/>
        <v>3253.46</v>
      </c>
      <c r="AO328" s="44">
        <f>VLOOKUP(D328,[1]apoio_Preços_MGS!$A$6:$AN$238,40,FALSE)</f>
        <v>551.58000000000004</v>
      </c>
      <c r="AP328" s="44">
        <f>IF(J328="demais municípios",VLOOKUP(D328,[1]apoio_Preços_MGS!$A$6:$AN$238,40,FALSE),0)</f>
        <v>0</v>
      </c>
      <c r="AQ328" s="44">
        <f>TRUNC(ROUND(($I328)/(1-($I328)),5)*VLOOKUP(D328,[1]apoio_Preços_MGS!$A$6:$AN$238,40,FALSE)+VLOOKUP(D328,[1]apoio_Preços_MGS!$A$6:$AN$238,40,FALSE),2)</f>
        <v>580.6</v>
      </c>
      <c r="AR328" s="45">
        <f t="shared" si="187"/>
        <v>9870.2000000000007</v>
      </c>
      <c r="AS328" s="45">
        <f t="shared" si="188"/>
        <v>13123.66</v>
      </c>
      <c r="AT328" s="45">
        <f t="shared" si="189"/>
        <v>787419.6</v>
      </c>
      <c r="AU328" s="62"/>
      <c r="AV328" s="46"/>
      <c r="AW328" s="47"/>
      <c r="AX328" s="48"/>
      <c r="AY328" s="49"/>
      <c r="BA328" s="48"/>
    </row>
    <row r="329" spans="1:53" ht="19.5" customHeight="1" x14ac:dyDescent="0.25">
      <c r="A329" s="33" t="str">
        <f t="shared" si="184"/>
        <v>64084440,03</v>
      </c>
      <c r="B329" s="33" t="str">
        <f t="shared" si="185"/>
        <v>1950,03</v>
      </c>
      <c r="C329" s="34" t="str">
        <f>VLOOKUP(D329,[1]apoio_Preços_MGS!$A$6:$B$238,2,FALSE)</f>
        <v>GARÇOM</v>
      </c>
      <c r="D329" s="35">
        <v>195</v>
      </c>
      <c r="E329" s="33" t="str">
        <f>VLOOKUP(D329,[1]apoio_Preços_MGS!$A$6:$F$238,6,FALSE)</f>
        <v>GARÇOM - DIARISTA DIURNO - 44H</v>
      </c>
      <c r="F329" s="36">
        <f>IFERROR(VLOOKUP(D329,'[1]apoio_cód catmas'!$B$2:$C$863,2,FALSE),0)</f>
        <v>64084</v>
      </c>
      <c r="G329" s="33" t="str">
        <f>IF(H329="N/A",VLOOKUP(F329&amp;40,'[1]apoio_cód catmas'!$A$1:$G$233,4,FALSE),VLOOKUP(F329&amp;H329,'[1]apoio_cód catmas'!$A$1:$G$233,4,FALSE))</f>
        <v>GARCOM - 30H, 40H OU 44H</v>
      </c>
      <c r="H329" s="36">
        <v>44</v>
      </c>
      <c r="I329" s="37">
        <v>0.03</v>
      </c>
      <c r="J329" s="38" t="s">
        <v>46</v>
      </c>
      <c r="K329" s="39">
        <v>2</v>
      </c>
      <c r="L329" s="39">
        <f t="shared" si="113"/>
        <v>120</v>
      </c>
      <c r="M329" s="40">
        <f>VLOOKUP(D329,[1]apoio_Preços_MGS!$A$6:$AN$238,18,FALSE)</f>
        <v>3397.1390304347829</v>
      </c>
      <c r="N329" s="40">
        <f>VLOOKUP(D329,[1]apoio_Preços_MGS!$A$6:$AN$238,19,FALSE)</f>
        <v>0</v>
      </c>
      <c r="O329" s="40">
        <f>VLOOKUP(D329,[1]apoio_Preços_MGS!$A$6:$AN$238,20,FALSE)</f>
        <v>0</v>
      </c>
      <c r="P329" s="40">
        <f>VLOOKUP(D329,[1]apoio_Preços_MGS!$A$6:$AN$238,21,FALSE)</f>
        <v>0</v>
      </c>
      <c r="Q329" s="40">
        <f>VLOOKUP(D329,[1]apoio_Preços_MGS!$A$6:$AN$238,22,FALSE)</f>
        <v>0</v>
      </c>
      <c r="R329" s="40">
        <f>VLOOKUP(D329,[1]apoio_Preços_MGS!$A$6:$AN$238,23,FALSE)</f>
        <v>0</v>
      </c>
      <c r="S329" s="40">
        <f>VLOOKUP(D329,[1]apoio_Preços_MGS!$A$6:$AN$238,24,FALSE)</f>
        <v>0</v>
      </c>
      <c r="T329" s="40">
        <f>VLOOKUP(D329,[1]apoio_Preços_MGS!$A$6:$AN$238,25,FALSE)</f>
        <v>0</v>
      </c>
      <c r="U329" s="40">
        <f t="shared" si="171"/>
        <v>3397.1390304347829</v>
      </c>
      <c r="V329" s="41">
        <v>0.81799999999999995</v>
      </c>
      <c r="W329" s="40">
        <f t="shared" si="172"/>
        <v>2778.8597268956523</v>
      </c>
      <c r="X329" s="40">
        <f>VLOOKUP(D329,[1]apoio_Preços_MGS!$A$6:$AN$238,29,FALSE)</f>
        <v>61.998333333333335</v>
      </c>
      <c r="Y329" s="40">
        <f>VLOOKUP(D329,[1]apoio_Preços_MGS!$A$6:$AN$238,30,FALSE)</f>
        <v>0</v>
      </c>
      <c r="Z329" s="40">
        <f t="shared" si="116"/>
        <v>61.998333333333335</v>
      </c>
      <c r="AA329" s="40">
        <f>VLOOKUP(D329,[1]apoio_Preços_MGS!$A$6:$AN$238,32,FALSE)</f>
        <v>6.5225069384347822</v>
      </c>
      <c r="AB329" s="40">
        <f>VLOOKUP(D329,[1]apoio_Preços_MGS!$A$6:$AN$238,33,FALSE)</f>
        <v>154.63640000000004</v>
      </c>
      <c r="AC329" s="41">
        <f>VLOOKUP(D329,[1]apoio_Preços_MGS!$A$6:$AN$238,34,FALSE)</f>
        <v>3.2407836510060628E-2</v>
      </c>
      <c r="AD329" s="40">
        <f>(U329+W329+Z329+AB329+AA329+VLOOKUP(C329,[1]apoio_Prec_Folha!$A:$S,7,FALSE))*AC329</f>
        <v>225.25831583488537</v>
      </c>
      <c r="AE329" s="42">
        <f>VLOOKUP(D329,[1]apoio_Preços_MGS!$A$6:$AN$238,36,FALSE)</f>
        <v>7.0000000000000007E-2</v>
      </c>
      <c r="AF329" s="40">
        <f>(U329+W329+Z329+AB329+AD329+AA329+VLOOKUP(C329,[1]apoio_Prec_Folha!$A:$S,7,FALSE))*AE329</f>
        <v>502.31960194059627</v>
      </c>
      <c r="AG329" s="40">
        <f t="shared" si="117"/>
        <v>7126.73</v>
      </c>
      <c r="AH329" s="43">
        <f t="shared" si="118"/>
        <v>8121.62</v>
      </c>
      <c r="AI329" s="43">
        <f t="shared" si="119"/>
        <v>16243.24</v>
      </c>
      <c r="AJ329" s="43">
        <f t="shared" si="120"/>
        <v>974594.4</v>
      </c>
      <c r="AK329" s="44">
        <f>VLOOKUP(D329,[1]apoio_Preços_MGS!$A$6:$AN$238,39,FALSE)</f>
        <v>200.00000000000003</v>
      </c>
      <c r="AL329" s="44">
        <f>IF(J329="demais municípios",VLOOKUP(D329,[1]apoio_Preços_MGS!$A$6:$AN$238,39,FALSE),0)</f>
        <v>200.00000000000003</v>
      </c>
      <c r="AM329" s="44">
        <v>0</v>
      </c>
      <c r="AN329" s="45">
        <f>AK329*K329</f>
        <v>400.00000000000006</v>
      </c>
      <c r="AO329" s="44">
        <f>VLOOKUP(D329,[1]apoio_Preços_MGS!$A$6:$AN$238,40,FALSE)</f>
        <v>551.58000000000004</v>
      </c>
      <c r="AP329" s="44">
        <f>IF(J329="demais municípios",VLOOKUP(D329,[1]apoio_Preços_MGS!$A$6:$AN$238,40,FALSE),0)</f>
        <v>551.58000000000004</v>
      </c>
      <c r="AQ329" s="44">
        <v>0</v>
      </c>
      <c r="AR329" s="45">
        <f>AO329*K329</f>
        <v>1103.1600000000001</v>
      </c>
      <c r="AS329" s="45">
        <f t="shared" si="188"/>
        <v>1503.16</v>
      </c>
      <c r="AT329" s="45">
        <f t="shared" si="189"/>
        <v>90189.6</v>
      </c>
      <c r="AU329" s="62"/>
      <c r="AV329" s="46"/>
      <c r="AW329" s="47"/>
      <c r="AX329" s="48"/>
      <c r="AY329" s="49"/>
      <c r="BA329" s="48"/>
    </row>
    <row r="330" spans="1:53" ht="19.5" customHeight="1" x14ac:dyDescent="0.25">
      <c r="A330" s="33" t="str">
        <f t="shared" si="184"/>
        <v>64084440,05</v>
      </c>
      <c r="B330" s="33" t="str">
        <f t="shared" si="185"/>
        <v>1950,05</v>
      </c>
      <c r="C330" s="34" t="str">
        <f>VLOOKUP(D330,[1]apoio_Preços_MGS!$A$6:$B$238,2,FALSE)</f>
        <v>GARÇOM</v>
      </c>
      <c r="D330" s="35">
        <v>195</v>
      </c>
      <c r="E330" s="33" t="str">
        <f>VLOOKUP(D330,[1]apoio_Preços_MGS!$A$6:$F$238,6,FALSE)</f>
        <v>GARÇOM - DIARISTA DIURNO - 44H</v>
      </c>
      <c r="F330" s="36">
        <f>IFERROR(VLOOKUP(D330,'[1]apoio_cód catmas'!$B$2:$C$863,2,FALSE),0)</f>
        <v>64084</v>
      </c>
      <c r="G330" s="33" t="str">
        <f>IF(H330="N/A",VLOOKUP(F330&amp;40,'[1]apoio_cód catmas'!$A$1:$G$233,4,FALSE),VLOOKUP(F330&amp;H330,'[1]apoio_cód catmas'!$A$1:$G$233,4,FALSE))</f>
        <v>GARCOM - 30H, 40H OU 44H</v>
      </c>
      <c r="H330" s="36">
        <v>44</v>
      </c>
      <c r="I330" s="37">
        <v>0.05</v>
      </c>
      <c r="J330" s="38" t="s">
        <v>47</v>
      </c>
      <c r="K330" s="39">
        <v>8</v>
      </c>
      <c r="L330" s="39">
        <f t="shared" si="113"/>
        <v>480</v>
      </c>
      <c r="M330" s="40">
        <f>VLOOKUP(D330,[1]apoio_Preços_MGS!$A$6:$AN$238,18,FALSE)</f>
        <v>3397.1390304347829</v>
      </c>
      <c r="N330" s="40">
        <f>VLOOKUP(D330,[1]apoio_Preços_MGS!$A$6:$AN$238,19,FALSE)</f>
        <v>0</v>
      </c>
      <c r="O330" s="40">
        <f>VLOOKUP(D330,[1]apoio_Preços_MGS!$A$6:$AN$238,20,FALSE)</f>
        <v>0</v>
      </c>
      <c r="P330" s="40">
        <f>VLOOKUP(D330,[1]apoio_Preços_MGS!$A$6:$AN$238,21,FALSE)</f>
        <v>0</v>
      </c>
      <c r="Q330" s="40">
        <f>VLOOKUP(D330,[1]apoio_Preços_MGS!$A$6:$AN$238,22,FALSE)</f>
        <v>0</v>
      </c>
      <c r="R330" s="40">
        <f>VLOOKUP(D330,[1]apoio_Preços_MGS!$A$6:$AN$238,23,FALSE)</f>
        <v>0</v>
      </c>
      <c r="S330" s="40">
        <f>VLOOKUP(D330,[1]apoio_Preços_MGS!$A$6:$AN$238,24,FALSE)</f>
        <v>0</v>
      </c>
      <c r="T330" s="40">
        <f>VLOOKUP(D330,[1]apoio_Preços_MGS!$A$6:$AN$238,25,FALSE)</f>
        <v>0</v>
      </c>
      <c r="U330" s="40">
        <f t="shared" si="171"/>
        <v>3397.1390304347829</v>
      </c>
      <c r="V330" s="41">
        <v>0.81799999999999995</v>
      </c>
      <c r="W330" s="40">
        <f t="shared" si="172"/>
        <v>2778.8597268956523</v>
      </c>
      <c r="X330" s="40">
        <f>VLOOKUP(D330,[1]apoio_Preços_MGS!$A$6:$AN$238,29,FALSE)</f>
        <v>61.998333333333335</v>
      </c>
      <c r="Y330" s="40">
        <f>VLOOKUP(D330,[1]apoio_Preços_MGS!$A$6:$AN$238,30,FALSE)</f>
        <v>0</v>
      </c>
      <c r="Z330" s="40">
        <f t="shared" si="116"/>
        <v>61.998333333333335</v>
      </c>
      <c r="AA330" s="40">
        <f>VLOOKUP(D330,[1]apoio_Preços_MGS!$A$6:$AN$238,32,FALSE)</f>
        <v>6.5225069384347822</v>
      </c>
      <c r="AB330" s="40">
        <f>VLOOKUP(D330,[1]apoio_Preços_MGS!$A$6:$AN$238,33,FALSE)</f>
        <v>154.63640000000004</v>
      </c>
      <c r="AC330" s="41">
        <f>VLOOKUP(D330,[1]apoio_Preços_MGS!$A$6:$AN$238,34,FALSE)</f>
        <v>3.2407836510060628E-2</v>
      </c>
      <c r="AD330" s="40">
        <f>(U330+W330+Z330+AB330+AA330+VLOOKUP(C330,[1]apoio_Prec_Folha!$A:$S,7,FALSE))*AC330</f>
        <v>225.25831583488537</v>
      </c>
      <c r="AE330" s="42">
        <f>VLOOKUP(D330,[1]apoio_Preços_MGS!$A$6:$AN$238,36,FALSE)</f>
        <v>7.0000000000000007E-2</v>
      </c>
      <c r="AF330" s="40">
        <f>(U330+W330+Z330+AB330+AD330+AA330+VLOOKUP(C330,[1]apoio_Prec_Folha!$A:$S,7,FALSE))*AE330</f>
        <v>502.31960194059627</v>
      </c>
      <c r="AG330" s="40">
        <f t="shared" si="117"/>
        <v>7126.73</v>
      </c>
      <c r="AH330" s="43">
        <f t="shared" si="118"/>
        <v>8311.0400000000009</v>
      </c>
      <c r="AI330" s="43">
        <f t="shared" si="119"/>
        <v>66488.320000000007</v>
      </c>
      <c r="AJ330" s="43">
        <f t="shared" si="120"/>
        <v>3989299.2000000002</v>
      </c>
      <c r="AK330" s="44">
        <f>VLOOKUP(D330,[1]apoio_Preços_MGS!$A$6:$AN$238,39,FALSE)</f>
        <v>200.00000000000003</v>
      </c>
      <c r="AL330" s="44">
        <f>IF(J330="demais municípios",VLOOKUP(D330,[1]apoio_Preços_MGS!$A$6:$AN$238,39,FALSE),0)</f>
        <v>0</v>
      </c>
      <c r="AM330" s="44">
        <f>TRUNC(ROUND(($I330)/(1-($I330)),5)*VLOOKUP(D330,[1]apoio_Preços_MGS!$A$6:$AN$238,39,FALSE)+VLOOKUP(D330,[1]apoio_Preços_MGS!$A$6:$AN$238,39,FALSE),2)</f>
        <v>210.52</v>
      </c>
      <c r="AN330" s="45">
        <f t="shared" si="186"/>
        <v>1684.16</v>
      </c>
      <c r="AO330" s="44">
        <f>VLOOKUP(D330,[1]apoio_Preços_MGS!$A$6:$AN$238,40,FALSE)</f>
        <v>551.58000000000004</v>
      </c>
      <c r="AP330" s="44">
        <f>IF(J330="demais municípios",VLOOKUP(D330,[1]apoio_Preços_MGS!$A$6:$AN$238,40,FALSE),0)</f>
        <v>0</v>
      </c>
      <c r="AQ330" s="44">
        <f>TRUNC(ROUND(($I330)/(1-($I330)),5)*VLOOKUP(D330,[1]apoio_Preços_MGS!$A$6:$AN$238,40,FALSE)+VLOOKUP(D330,[1]apoio_Preços_MGS!$A$6:$AN$238,40,FALSE),2)</f>
        <v>580.6</v>
      </c>
      <c r="AR330" s="45">
        <f t="shared" si="187"/>
        <v>4644.8</v>
      </c>
      <c r="AS330" s="45">
        <f t="shared" si="188"/>
        <v>6328.96</v>
      </c>
      <c r="AT330" s="45">
        <f t="shared" si="189"/>
        <v>379737.59999999998</v>
      </c>
      <c r="AU330" s="62"/>
      <c r="AV330" s="46"/>
      <c r="AW330" s="47"/>
      <c r="AX330" s="48"/>
      <c r="AY330" s="49"/>
      <c r="BA330" s="48"/>
    </row>
    <row r="331" spans="1:53" ht="19.5" customHeight="1" x14ac:dyDescent="0.25">
      <c r="A331" s="33" t="str">
        <f t="shared" si="184"/>
        <v>106208440,05</v>
      </c>
      <c r="B331" s="33" t="str">
        <f t="shared" si="185"/>
        <v>4060,05</v>
      </c>
      <c r="C331" s="34" t="str">
        <f>VLOOKUP(D331,[1]apoio_Preços_MGS!$A$6:$B$238,2,FALSE)</f>
        <v>JARDINEIRO</v>
      </c>
      <c r="D331" s="35">
        <v>406</v>
      </c>
      <c r="E331" s="33" t="str">
        <f>VLOOKUP(D331,[1]apoio_Preços_MGS!$A$6:$F$238,6,FALSE)</f>
        <v>JARDINEIRO - 12x36 DIURNO - 44H</v>
      </c>
      <c r="F331" s="36">
        <f>IFERROR(VLOOKUP(D331,'[1]apoio_cód catmas'!$B$2:$C$863,2,FALSE),0)</f>
        <v>106208</v>
      </c>
      <c r="G331" s="33" t="str">
        <f>IF(H331="N/A",VLOOKUP(F331&amp;40,'[1]apoio_cód catmas'!$A$1:$G$233,4,FALSE),VLOOKUP(F331&amp;H331,'[1]apoio_cód catmas'!$A$1:$G$233,4,FALSE))</f>
        <v>JARDINEIRO - 12X36 DIURNO - 44H</v>
      </c>
      <c r="H331" s="36">
        <v>44</v>
      </c>
      <c r="I331" s="37">
        <v>0.05</v>
      </c>
      <c r="J331" s="38" t="s">
        <v>47</v>
      </c>
      <c r="K331" s="39">
        <v>4</v>
      </c>
      <c r="L331" s="39">
        <f t="shared" si="113"/>
        <v>240</v>
      </c>
      <c r="M331" s="40">
        <f>VLOOKUP(D331,[1]apoio_Preços_MGS!$A$6:$AN$238,18,FALSE)</f>
        <v>2556.9576634146338</v>
      </c>
      <c r="N331" s="40">
        <f>VLOOKUP(D331,[1]apoio_Preços_MGS!$A$6:$AN$238,19,FALSE)</f>
        <v>0</v>
      </c>
      <c r="O331" s="40">
        <f>VLOOKUP(D331,[1]apoio_Preços_MGS!$A$6:$AN$238,20,FALSE)</f>
        <v>0</v>
      </c>
      <c r="P331" s="40">
        <f>VLOOKUP(D331,[1]apoio_Preços_MGS!$A$6:$AN$238,21,FALSE)</f>
        <v>0</v>
      </c>
      <c r="Q331" s="40">
        <f>VLOOKUP(D331,[1]apoio_Preços_MGS!$A$6:$AN$238,22,FALSE)</f>
        <v>0</v>
      </c>
      <c r="R331" s="40">
        <f>VLOOKUP(D331,[1]apoio_Preços_MGS!$A$6:$AN$238,23,FALSE)</f>
        <v>0</v>
      </c>
      <c r="S331" s="40">
        <f>VLOOKUP(D331,[1]apoio_Preços_MGS!$A$6:$AN$238,24,FALSE)</f>
        <v>0</v>
      </c>
      <c r="T331" s="40">
        <f>VLOOKUP(D331,[1]apoio_Preços_MGS!$A$6:$AN$238,25,FALSE)</f>
        <v>3.5513300880758805</v>
      </c>
      <c r="U331" s="40">
        <f t="shared" si="171"/>
        <v>2560.5089935027095</v>
      </c>
      <c r="V331" s="41">
        <v>0.81799999999999995</v>
      </c>
      <c r="W331" s="40">
        <f t="shared" si="172"/>
        <v>2094.4963566852161</v>
      </c>
      <c r="X331" s="40">
        <f>VLOOKUP(D331,[1]apoio_Preços_MGS!$A$6:$AN$238,29,FALSE)</f>
        <v>31.89</v>
      </c>
      <c r="Y331" s="40">
        <f>VLOOKUP(D331,[1]apoio_Preços_MGS!$A$6:$AN$238,30,FALSE)</f>
        <v>58.869660014781957</v>
      </c>
      <c r="Z331" s="40">
        <f t="shared" si="116"/>
        <v>90.759660014781957</v>
      </c>
      <c r="AA331" s="40">
        <f>VLOOKUP(D331,[1]apoio_Preços_MGS!$A$6:$AN$238,32,FALSE)</f>
        <v>4.9093587137560961</v>
      </c>
      <c r="AB331" s="40">
        <f>VLOOKUP(D331,[1]apoio_Preços_MGS!$A$6:$AN$238,33,FALSE)</f>
        <v>236.46946341463413</v>
      </c>
      <c r="AC331" s="41">
        <f>VLOOKUP(D331,[1]apoio_Preços_MGS!$A$6:$AN$238,34,FALSE)</f>
        <v>0</v>
      </c>
      <c r="AD331" s="40">
        <f>(U331+W331+Z331+AB331+AA331+VLOOKUP(C331,[1]apoio_Prec_Folha!$A:$S,7,FALSE))*AC331</f>
        <v>0</v>
      </c>
      <c r="AE331" s="42">
        <f>VLOOKUP(D331,[1]apoio_Preços_MGS!$A$6:$AN$238,36,FALSE)</f>
        <v>7.0000000000000007E-2</v>
      </c>
      <c r="AF331" s="40">
        <f>(U331+W331+Z331+AB331+AD331+AA331+VLOOKUP(C331,[1]apoio_Prec_Folha!$A:$S,7,FALSE))*AE331</f>
        <v>387.71066826317696</v>
      </c>
      <c r="AG331" s="40">
        <f t="shared" si="117"/>
        <v>5374.85</v>
      </c>
      <c r="AH331" s="43">
        <f t="shared" si="118"/>
        <v>6268.04</v>
      </c>
      <c r="AI331" s="43">
        <f t="shared" si="119"/>
        <v>25072.16</v>
      </c>
      <c r="AJ331" s="43">
        <f t="shared" si="120"/>
        <v>1504329.6</v>
      </c>
      <c r="AK331" s="44">
        <f>VLOOKUP(D331,[1]apoio_Preços_MGS!$A$6:$AN$238,39,FALSE)</f>
        <v>200.00000000000003</v>
      </c>
      <c r="AL331" s="44">
        <f>IF(J331="demais municípios",VLOOKUP(D331,[1]apoio_Preços_MGS!$A$6:$AN$238,39,FALSE),0)</f>
        <v>0</v>
      </c>
      <c r="AM331" s="44">
        <f>TRUNC(ROUND(($I331)/(1-($I331)),5)*VLOOKUP(D331,[1]apoio_Preços_MGS!$A$6:$AN$238,39,FALSE)+VLOOKUP(D331,[1]apoio_Preços_MGS!$A$6:$AN$238,39,FALSE),2)</f>
        <v>210.52</v>
      </c>
      <c r="AN331" s="45">
        <f t="shared" si="186"/>
        <v>842.08</v>
      </c>
      <c r="AO331" s="44">
        <f>VLOOKUP(D331,[1]apoio_Preços_MGS!$A$6:$AN$238,40,FALSE)</f>
        <v>551.58000000000004</v>
      </c>
      <c r="AP331" s="44">
        <f>IF(J331="demais municípios",VLOOKUP(D331,[1]apoio_Preços_MGS!$A$6:$AN$238,40,FALSE),0)</f>
        <v>0</v>
      </c>
      <c r="AQ331" s="44">
        <f>TRUNC(ROUND(($I331)/(1-($I331)),5)*VLOOKUP(D331,[1]apoio_Preços_MGS!$A$6:$AN$238,40,FALSE)+VLOOKUP(D331,[1]apoio_Preços_MGS!$A$6:$AN$238,40,FALSE),2)</f>
        <v>580.6</v>
      </c>
      <c r="AR331" s="45">
        <f t="shared" si="187"/>
        <v>2322.4</v>
      </c>
      <c r="AS331" s="45">
        <f t="shared" si="188"/>
        <v>3164.48</v>
      </c>
      <c r="AT331" s="45">
        <f t="shared" si="189"/>
        <v>189868.79999999999</v>
      </c>
      <c r="AU331" s="62"/>
      <c r="AV331" s="46"/>
      <c r="AW331" s="47"/>
      <c r="AX331" s="48"/>
      <c r="AY331" s="49"/>
      <c r="BA331" s="48"/>
    </row>
    <row r="332" spans="1:53" ht="19.5" customHeight="1" x14ac:dyDescent="0.25">
      <c r="A332" s="33" t="str">
        <f t="shared" si="184"/>
        <v>106216400,02</v>
      </c>
      <c r="B332" s="33" t="str">
        <f t="shared" si="185"/>
        <v>2340,02</v>
      </c>
      <c r="C332" s="34" t="str">
        <f>VLOOKUP(D332,[1]apoio_Preços_MGS!$A$6:$B$238,2,FALSE)</f>
        <v>JARDINEIRO</v>
      </c>
      <c r="D332" s="35">
        <v>234</v>
      </c>
      <c r="E332" s="33" t="str">
        <f>VLOOKUP(D332,[1]apoio_Preços_MGS!$A$6:$F$238,6,FALSE)</f>
        <v>JARDINEIRO - DIARISTA DIURNO - 40H</v>
      </c>
      <c r="F332" s="36">
        <f>IFERROR(VLOOKUP(D332,'[1]apoio_cód catmas'!$B$2:$C$863,2,FALSE),0)</f>
        <v>106216</v>
      </c>
      <c r="G332" s="33" t="str">
        <f>IF(H332="N/A",VLOOKUP(F332&amp;40,'[1]apoio_cód catmas'!$A$1:$G$233,4,FALSE),VLOOKUP(F332&amp;H332,'[1]apoio_cód catmas'!$A$1:$G$233,4,FALSE))</f>
        <v>JARDINEIRO - 40H OU 44H</v>
      </c>
      <c r="H332" s="36">
        <v>40</v>
      </c>
      <c r="I332" s="37">
        <v>0.02</v>
      </c>
      <c r="J332" s="38" t="s">
        <v>46</v>
      </c>
      <c r="K332" s="39">
        <v>2</v>
      </c>
      <c r="L332" s="39">
        <f t="shared" si="113"/>
        <v>120</v>
      </c>
      <c r="M332" s="40">
        <f>VLOOKUP(D332,[1]apoio_Preços_MGS!$A$6:$AN$238,18,FALSE)</f>
        <v>2324.506966740576</v>
      </c>
      <c r="N332" s="40">
        <f>VLOOKUP(D332,[1]apoio_Preços_MGS!$A$6:$AN$238,19,FALSE)</f>
        <v>0</v>
      </c>
      <c r="O332" s="40">
        <f>VLOOKUP(D332,[1]apoio_Preços_MGS!$A$6:$AN$238,20,FALSE)</f>
        <v>0</v>
      </c>
      <c r="P332" s="40">
        <f>VLOOKUP(D332,[1]apoio_Preços_MGS!$A$6:$AN$238,21,FALSE)</f>
        <v>0</v>
      </c>
      <c r="Q332" s="40">
        <f>VLOOKUP(D332,[1]apoio_Preços_MGS!$A$6:$AN$238,22,FALSE)</f>
        <v>0</v>
      </c>
      <c r="R332" s="40">
        <f>VLOOKUP(D332,[1]apoio_Preços_MGS!$A$6:$AN$238,23,FALSE)</f>
        <v>0</v>
      </c>
      <c r="S332" s="40">
        <f>VLOOKUP(D332,[1]apoio_Preços_MGS!$A$6:$AN$238,24,FALSE)</f>
        <v>0</v>
      </c>
      <c r="T332" s="40">
        <f>VLOOKUP(D332,[1]apoio_Preços_MGS!$A$6:$AN$238,25,FALSE)</f>
        <v>0</v>
      </c>
      <c r="U332" s="40">
        <f t="shared" si="171"/>
        <v>2324.506966740576</v>
      </c>
      <c r="V332" s="41">
        <v>0.81799999999999995</v>
      </c>
      <c r="W332" s="40">
        <f t="shared" si="172"/>
        <v>1901.446698793791</v>
      </c>
      <c r="X332" s="40">
        <f>VLOOKUP(D332,[1]apoio_Preços_MGS!$A$6:$AN$238,29,FALSE)</f>
        <v>31.89</v>
      </c>
      <c r="Y332" s="40">
        <f>VLOOKUP(D332,[1]apoio_Preços_MGS!$A$6:$AN$238,30,FALSE)</f>
        <v>58.869660014781957</v>
      </c>
      <c r="Z332" s="40">
        <f t="shared" si="116"/>
        <v>90.759660014781957</v>
      </c>
      <c r="AA332" s="40">
        <f>VLOOKUP(D332,[1]apoio_Preços_MGS!$A$6:$AN$238,32,FALSE)</f>
        <v>4.4630533761419056</v>
      </c>
      <c r="AB332" s="40">
        <f>VLOOKUP(D332,[1]apoio_Preços_MGS!$A$6:$AN$238,33,FALSE)</f>
        <v>245.6109711751663</v>
      </c>
      <c r="AC332" s="41">
        <f>VLOOKUP(D332,[1]apoio_Preços_MGS!$A$6:$AN$238,34,FALSE)</f>
        <v>0</v>
      </c>
      <c r="AD332" s="40">
        <f>(U332+W332+Z332+AB332+AA332+VLOOKUP(C332,[1]apoio_Prec_Folha!$A:$S,7,FALSE))*AC332</f>
        <v>0</v>
      </c>
      <c r="AE332" s="42">
        <f>VLOOKUP(D332,[1]apoio_Preços_MGS!$A$6:$AN$238,36,FALSE)</f>
        <v>7.0000000000000007E-2</v>
      </c>
      <c r="AF332" s="40">
        <f>(U332+W332+Z332+AB332+AD332+AA332+VLOOKUP(C332,[1]apoio_Prec_Folha!$A:$S,7,FALSE))*AE332</f>
        <v>358.28571450703208</v>
      </c>
      <c r="AG332" s="40">
        <f t="shared" si="117"/>
        <v>4925.07</v>
      </c>
      <c r="AH332" s="43">
        <f t="shared" si="118"/>
        <v>5549.37</v>
      </c>
      <c r="AI332" s="43">
        <f t="shared" si="119"/>
        <v>11098.74</v>
      </c>
      <c r="AJ332" s="43">
        <f t="shared" si="120"/>
        <v>665924.4</v>
      </c>
      <c r="AK332" s="44">
        <f>VLOOKUP(D332,[1]apoio_Preços_MGS!$A$6:$AN$238,39,FALSE)</f>
        <v>181.81818181818184</v>
      </c>
      <c r="AL332" s="44">
        <f>IF(J332="demais municípios",VLOOKUP(D332,[1]apoio_Preços_MGS!$A$6:$AN$238,39,FALSE),0)</f>
        <v>181.81818181818184</v>
      </c>
      <c r="AM332" s="44">
        <v>0</v>
      </c>
      <c r="AN332" s="45">
        <f t="shared" ref="AN332:AN335" si="190">AK332*K332</f>
        <v>363.63636363636368</v>
      </c>
      <c r="AO332" s="44">
        <f>VLOOKUP(D332,[1]apoio_Preços_MGS!$A$6:$AN$238,40,FALSE)</f>
        <v>551.58000000000004</v>
      </c>
      <c r="AP332" s="44">
        <f>IF(J332="demais municípios",VLOOKUP(D332,[1]apoio_Preços_MGS!$A$6:$AN$238,40,FALSE),0)</f>
        <v>551.58000000000004</v>
      </c>
      <c r="AQ332" s="44">
        <v>0</v>
      </c>
      <c r="AR332" s="45">
        <f t="shared" ref="AR332:AR335" si="191">AO332*K332</f>
        <v>1103.1600000000001</v>
      </c>
      <c r="AS332" s="45">
        <f t="shared" si="188"/>
        <v>1466.7963636363638</v>
      </c>
      <c r="AT332" s="45">
        <f t="shared" si="189"/>
        <v>88007.781818181829</v>
      </c>
      <c r="AU332" s="62"/>
      <c r="AV332" s="46"/>
      <c r="AW332" s="47"/>
      <c r="AX332" s="48"/>
      <c r="AY332" s="49"/>
      <c r="BA332" s="48"/>
    </row>
    <row r="333" spans="1:53" ht="19.5" customHeight="1" x14ac:dyDescent="0.25">
      <c r="A333" s="33" t="str">
        <f t="shared" si="184"/>
        <v>106216400,03</v>
      </c>
      <c r="B333" s="33" t="str">
        <f t="shared" si="185"/>
        <v>2340,03</v>
      </c>
      <c r="C333" s="34" t="str">
        <f>VLOOKUP(D333,[1]apoio_Preços_MGS!$A$6:$B$238,2,FALSE)</f>
        <v>JARDINEIRO</v>
      </c>
      <c r="D333" s="35">
        <v>234</v>
      </c>
      <c r="E333" s="33" t="str">
        <f>VLOOKUP(D333,[1]apoio_Preços_MGS!$A$6:$F$238,6,FALSE)</f>
        <v>JARDINEIRO - DIARISTA DIURNO - 40H</v>
      </c>
      <c r="F333" s="36">
        <f>IFERROR(VLOOKUP(D333,'[1]apoio_cód catmas'!$B$2:$C$863,2,FALSE),0)</f>
        <v>106216</v>
      </c>
      <c r="G333" s="33" t="str">
        <f>IF(H333="N/A",VLOOKUP(F333&amp;40,'[1]apoio_cód catmas'!$A$1:$G$233,4,FALSE),VLOOKUP(F333&amp;H333,'[1]apoio_cód catmas'!$A$1:$G$233,4,FALSE))</f>
        <v>JARDINEIRO - 40H OU 44H</v>
      </c>
      <c r="H333" s="36">
        <v>40</v>
      </c>
      <c r="I333" s="37">
        <v>0.03</v>
      </c>
      <c r="J333" s="38" t="s">
        <v>46</v>
      </c>
      <c r="K333" s="39">
        <v>11</v>
      </c>
      <c r="L333" s="39">
        <f t="shared" si="113"/>
        <v>660</v>
      </c>
      <c r="M333" s="40">
        <f>VLOOKUP(D333,[1]apoio_Preços_MGS!$A$6:$AN$238,18,FALSE)</f>
        <v>2324.506966740576</v>
      </c>
      <c r="N333" s="40">
        <f>VLOOKUP(D333,[1]apoio_Preços_MGS!$A$6:$AN$238,19,FALSE)</f>
        <v>0</v>
      </c>
      <c r="O333" s="40">
        <f>VLOOKUP(D333,[1]apoio_Preços_MGS!$A$6:$AN$238,20,FALSE)</f>
        <v>0</v>
      </c>
      <c r="P333" s="40">
        <f>VLOOKUP(D333,[1]apoio_Preços_MGS!$A$6:$AN$238,21,FALSE)</f>
        <v>0</v>
      </c>
      <c r="Q333" s="40">
        <f>VLOOKUP(D333,[1]apoio_Preços_MGS!$A$6:$AN$238,22,FALSE)</f>
        <v>0</v>
      </c>
      <c r="R333" s="40">
        <f>VLOOKUP(D333,[1]apoio_Preços_MGS!$A$6:$AN$238,23,FALSE)</f>
        <v>0</v>
      </c>
      <c r="S333" s="40">
        <f>VLOOKUP(D333,[1]apoio_Preços_MGS!$A$6:$AN$238,24,FALSE)</f>
        <v>0</v>
      </c>
      <c r="T333" s="40">
        <f>VLOOKUP(D333,[1]apoio_Preços_MGS!$A$6:$AN$238,25,FALSE)</f>
        <v>0</v>
      </c>
      <c r="U333" s="40">
        <f t="shared" si="171"/>
        <v>2324.506966740576</v>
      </c>
      <c r="V333" s="41">
        <v>0.81799999999999995</v>
      </c>
      <c r="W333" s="40">
        <f t="shared" si="172"/>
        <v>1901.446698793791</v>
      </c>
      <c r="X333" s="40">
        <f>VLOOKUP(D333,[1]apoio_Preços_MGS!$A$6:$AN$238,29,FALSE)</f>
        <v>31.89</v>
      </c>
      <c r="Y333" s="40">
        <f>VLOOKUP(D333,[1]apoio_Preços_MGS!$A$6:$AN$238,30,FALSE)</f>
        <v>58.869660014781957</v>
      </c>
      <c r="Z333" s="40">
        <f t="shared" si="116"/>
        <v>90.759660014781957</v>
      </c>
      <c r="AA333" s="40">
        <f>VLOOKUP(D333,[1]apoio_Preços_MGS!$A$6:$AN$238,32,FALSE)</f>
        <v>4.4630533761419056</v>
      </c>
      <c r="AB333" s="40">
        <f>VLOOKUP(D333,[1]apoio_Preços_MGS!$A$6:$AN$238,33,FALSE)</f>
        <v>245.6109711751663</v>
      </c>
      <c r="AC333" s="41">
        <f>VLOOKUP(D333,[1]apoio_Preços_MGS!$A$6:$AN$238,34,FALSE)</f>
        <v>0</v>
      </c>
      <c r="AD333" s="40">
        <f>(U333+W333+Z333+AB333+AA333+VLOOKUP(C333,[1]apoio_Prec_Folha!$A:$S,7,FALSE))*AC333</f>
        <v>0</v>
      </c>
      <c r="AE333" s="42">
        <f>VLOOKUP(D333,[1]apoio_Preços_MGS!$A$6:$AN$238,36,FALSE)</f>
        <v>7.0000000000000007E-2</v>
      </c>
      <c r="AF333" s="40">
        <f>(U333+W333+Z333+AB333+AD333+AA333+VLOOKUP(C333,[1]apoio_Prec_Folha!$A:$S,7,FALSE))*AE333</f>
        <v>358.28571450703208</v>
      </c>
      <c r="AG333" s="40">
        <f t="shared" si="117"/>
        <v>4925.07</v>
      </c>
      <c r="AH333" s="43">
        <f t="shared" si="118"/>
        <v>5612.6</v>
      </c>
      <c r="AI333" s="43">
        <f t="shared" si="119"/>
        <v>61738.600000000006</v>
      </c>
      <c r="AJ333" s="43">
        <f t="shared" si="120"/>
        <v>3704316.0000000005</v>
      </c>
      <c r="AK333" s="44">
        <f>VLOOKUP(D333,[1]apoio_Preços_MGS!$A$6:$AN$238,39,FALSE)</f>
        <v>181.81818181818184</v>
      </c>
      <c r="AL333" s="44">
        <f>IF(J333="demais municípios",VLOOKUP(D333,[1]apoio_Preços_MGS!$A$6:$AN$238,39,FALSE),0)</f>
        <v>181.81818181818184</v>
      </c>
      <c r="AM333" s="44">
        <v>0</v>
      </c>
      <c r="AN333" s="45">
        <f t="shared" si="190"/>
        <v>2000.0000000000002</v>
      </c>
      <c r="AO333" s="44">
        <f>VLOOKUP(D333,[1]apoio_Preços_MGS!$A$6:$AN$238,40,FALSE)</f>
        <v>551.58000000000004</v>
      </c>
      <c r="AP333" s="44">
        <f>IF(J333="demais municípios",VLOOKUP(D333,[1]apoio_Preços_MGS!$A$6:$AN$238,40,FALSE),0)</f>
        <v>551.58000000000004</v>
      </c>
      <c r="AQ333" s="44">
        <v>0</v>
      </c>
      <c r="AR333" s="45">
        <f t="shared" si="191"/>
        <v>6067.38</v>
      </c>
      <c r="AS333" s="45">
        <f t="shared" si="188"/>
        <v>8067.38</v>
      </c>
      <c r="AT333" s="45">
        <f t="shared" si="189"/>
        <v>484042.8</v>
      </c>
      <c r="AU333" s="62"/>
      <c r="AV333" s="46"/>
      <c r="AW333" s="47"/>
      <c r="AX333" s="48"/>
      <c r="AY333" s="49"/>
      <c r="BA333" s="48"/>
    </row>
    <row r="334" spans="1:53" ht="19.5" customHeight="1" x14ac:dyDescent="0.25">
      <c r="A334" s="33" t="str">
        <f t="shared" si="184"/>
        <v>106216400,038</v>
      </c>
      <c r="B334" s="33" t="str">
        <f t="shared" si="185"/>
        <v>2340,038</v>
      </c>
      <c r="C334" s="34" t="str">
        <f>VLOOKUP(D334,[1]apoio_Preços_MGS!$A$6:$B$238,2,FALSE)</f>
        <v>JARDINEIRO</v>
      </c>
      <c r="D334" s="35">
        <v>234</v>
      </c>
      <c r="E334" s="33" t="str">
        <f>VLOOKUP(D334,[1]apoio_Preços_MGS!$A$6:$F$238,6,FALSE)</f>
        <v>JARDINEIRO - DIARISTA DIURNO - 40H</v>
      </c>
      <c r="F334" s="36">
        <f>IFERROR(VLOOKUP(D334,'[1]apoio_cód catmas'!$B$2:$C$863,2,FALSE),0)</f>
        <v>106216</v>
      </c>
      <c r="G334" s="33" t="str">
        <f>IF(H334="N/A",VLOOKUP(F334&amp;40,'[1]apoio_cód catmas'!$A$1:$G$233,4,FALSE),VLOOKUP(F334&amp;H334,'[1]apoio_cód catmas'!$A$1:$G$233,4,FALSE))</f>
        <v>JARDINEIRO - 40H OU 44H</v>
      </c>
      <c r="H334" s="36">
        <v>40</v>
      </c>
      <c r="I334" s="37">
        <v>3.7999999999999999E-2</v>
      </c>
      <c r="J334" s="38" t="s">
        <v>46</v>
      </c>
      <c r="K334" s="39">
        <v>1</v>
      </c>
      <c r="L334" s="39">
        <f t="shared" si="113"/>
        <v>60</v>
      </c>
      <c r="M334" s="40">
        <f>VLOOKUP(D334,[1]apoio_Preços_MGS!$A$6:$AN$238,18,FALSE)</f>
        <v>2324.506966740576</v>
      </c>
      <c r="N334" s="40">
        <f>VLOOKUP(D334,[1]apoio_Preços_MGS!$A$6:$AN$238,19,FALSE)</f>
        <v>0</v>
      </c>
      <c r="O334" s="40">
        <f>VLOOKUP(D334,[1]apoio_Preços_MGS!$A$6:$AN$238,20,FALSE)</f>
        <v>0</v>
      </c>
      <c r="P334" s="40">
        <f>VLOOKUP(D334,[1]apoio_Preços_MGS!$A$6:$AN$238,21,FALSE)</f>
        <v>0</v>
      </c>
      <c r="Q334" s="40">
        <f>VLOOKUP(D334,[1]apoio_Preços_MGS!$A$6:$AN$238,22,FALSE)</f>
        <v>0</v>
      </c>
      <c r="R334" s="40">
        <f>VLOOKUP(D334,[1]apoio_Preços_MGS!$A$6:$AN$238,23,FALSE)</f>
        <v>0</v>
      </c>
      <c r="S334" s="40">
        <f>VLOOKUP(D334,[1]apoio_Preços_MGS!$A$6:$AN$238,24,FALSE)</f>
        <v>0</v>
      </c>
      <c r="T334" s="40">
        <f>VLOOKUP(D334,[1]apoio_Preços_MGS!$A$6:$AN$238,25,FALSE)</f>
        <v>0</v>
      </c>
      <c r="U334" s="40">
        <f t="shared" si="171"/>
        <v>2324.506966740576</v>
      </c>
      <c r="V334" s="41">
        <v>0.81799999999999995</v>
      </c>
      <c r="W334" s="40">
        <f t="shared" si="172"/>
        <v>1901.446698793791</v>
      </c>
      <c r="X334" s="40">
        <f>VLOOKUP(D334,[1]apoio_Preços_MGS!$A$6:$AN$238,29,FALSE)</f>
        <v>31.89</v>
      </c>
      <c r="Y334" s="40">
        <f>VLOOKUP(D334,[1]apoio_Preços_MGS!$A$6:$AN$238,30,FALSE)</f>
        <v>58.869660014781957</v>
      </c>
      <c r="Z334" s="40">
        <f t="shared" si="116"/>
        <v>90.759660014781957</v>
      </c>
      <c r="AA334" s="40">
        <f>VLOOKUP(D334,[1]apoio_Preços_MGS!$A$6:$AN$238,32,FALSE)</f>
        <v>4.4630533761419056</v>
      </c>
      <c r="AB334" s="40">
        <f>VLOOKUP(D334,[1]apoio_Preços_MGS!$A$6:$AN$238,33,FALSE)</f>
        <v>245.6109711751663</v>
      </c>
      <c r="AC334" s="41">
        <f>VLOOKUP(D334,[1]apoio_Preços_MGS!$A$6:$AN$238,34,FALSE)</f>
        <v>0</v>
      </c>
      <c r="AD334" s="40">
        <f>(U334+W334+Z334+AB334+AA334+VLOOKUP(C334,[1]apoio_Prec_Folha!$A:$S,7,FALSE))*AC334</f>
        <v>0</v>
      </c>
      <c r="AE334" s="42">
        <f>VLOOKUP(D334,[1]apoio_Preços_MGS!$A$6:$AN$238,36,FALSE)</f>
        <v>7.0000000000000007E-2</v>
      </c>
      <c r="AF334" s="40">
        <f>(U334+W334+Z334+AB334+AD334+AA334+VLOOKUP(C334,[1]apoio_Prec_Folha!$A:$S,7,FALSE))*AE334</f>
        <v>358.28571450703208</v>
      </c>
      <c r="AG334" s="40">
        <f t="shared" si="117"/>
        <v>4925.07</v>
      </c>
      <c r="AH334" s="43">
        <f t="shared" si="118"/>
        <v>5664.27</v>
      </c>
      <c r="AI334" s="43">
        <f t="shared" si="119"/>
        <v>5664.27</v>
      </c>
      <c r="AJ334" s="43">
        <f t="shared" si="120"/>
        <v>339856.2</v>
      </c>
      <c r="AK334" s="44">
        <f>VLOOKUP(D334,[1]apoio_Preços_MGS!$A$6:$AN$238,39,FALSE)</f>
        <v>181.81818181818184</v>
      </c>
      <c r="AL334" s="44">
        <f>IF(J334="demais municípios",VLOOKUP(D334,[1]apoio_Preços_MGS!$A$6:$AN$238,39,FALSE),0)</f>
        <v>181.81818181818184</v>
      </c>
      <c r="AM334" s="44">
        <v>0</v>
      </c>
      <c r="AN334" s="45">
        <f t="shared" si="190"/>
        <v>181.81818181818184</v>
      </c>
      <c r="AO334" s="44">
        <f>VLOOKUP(D334,[1]apoio_Preços_MGS!$A$6:$AN$238,40,FALSE)</f>
        <v>551.58000000000004</v>
      </c>
      <c r="AP334" s="44">
        <f>IF(J334="demais municípios",VLOOKUP(D334,[1]apoio_Preços_MGS!$A$6:$AN$238,40,FALSE),0)</f>
        <v>551.58000000000004</v>
      </c>
      <c r="AQ334" s="44">
        <v>0</v>
      </c>
      <c r="AR334" s="45">
        <f t="shared" si="191"/>
        <v>551.58000000000004</v>
      </c>
      <c r="AS334" s="45">
        <f t="shared" si="188"/>
        <v>733.39818181818191</v>
      </c>
      <c r="AT334" s="45">
        <f t="shared" si="189"/>
        <v>44003.890909090915</v>
      </c>
      <c r="AU334" s="62"/>
      <c r="AV334" s="46"/>
      <c r="AW334" s="47"/>
      <c r="AX334" s="48"/>
      <c r="AY334" s="49"/>
      <c r="BA334" s="48"/>
    </row>
    <row r="335" spans="1:53" ht="19.5" customHeight="1" x14ac:dyDescent="0.25">
      <c r="A335" s="33" t="str">
        <f t="shared" si="184"/>
        <v>106216400,05</v>
      </c>
      <c r="B335" s="33" t="str">
        <f t="shared" si="185"/>
        <v>2340,05</v>
      </c>
      <c r="C335" s="34" t="str">
        <f>VLOOKUP(D335,[1]apoio_Preços_MGS!$A$6:$B$238,2,FALSE)</f>
        <v>JARDINEIRO</v>
      </c>
      <c r="D335" s="35">
        <v>234</v>
      </c>
      <c r="E335" s="33" t="str">
        <f>VLOOKUP(D335,[1]apoio_Preços_MGS!$A$6:$F$238,6,FALSE)</f>
        <v>JARDINEIRO - DIARISTA DIURNO - 40H</v>
      </c>
      <c r="F335" s="36">
        <f>IFERROR(VLOOKUP(D335,'[1]apoio_cód catmas'!$B$2:$C$863,2,FALSE),0)</f>
        <v>106216</v>
      </c>
      <c r="G335" s="33" t="str">
        <f>IF(H335="N/A",VLOOKUP(F335&amp;40,'[1]apoio_cód catmas'!$A$1:$G$233,4,FALSE),VLOOKUP(F335&amp;H335,'[1]apoio_cód catmas'!$A$1:$G$233,4,FALSE))</f>
        <v>JARDINEIRO - 40H OU 44H</v>
      </c>
      <c r="H335" s="36">
        <v>40</v>
      </c>
      <c r="I335" s="37">
        <v>0.05</v>
      </c>
      <c r="J335" s="38" t="s">
        <v>46</v>
      </c>
      <c r="K335" s="39">
        <f>31-K336</f>
        <v>2</v>
      </c>
      <c r="L335" s="39">
        <f t="shared" si="113"/>
        <v>120</v>
      </c>
      <c r="M335" s="40">
        <f>VLOOKUP(D335,[1]apoio_Preços_MGS!$A$6:$AN$238,18,FALSE)</f>
        <v>2324.506966740576</v>
      </c>
      <c r="N335" s="40">
        <f>VLOOKUP(D335,[1]apoio_Preços_MGS!$A$6:$AN$238,19,FALSE)</f>
        <v>0</v>
      </c>
      <c r="O335" s="40">
        <f>VLOOKUP(D335,[1]apoio_Preços_MGS!$A$6:$AN$238,20,FALSE)</f>
        <v>0</v>
      </c>
      <c r="P335" s="40">
        <f>VLOOKUP(D335,[1]apoio_Preços_MGS!$A$6:$AN$238,21,FALSE)</f>
        <v>0</v>
      </c>
      <c r="Q335" s="40">
        <f>VLOOKUP(D335,[1]apoio_Preços_MGS!$A$6:$AN$238,22,FALSE)</f>
        <v>0</v>
      </c>
      <c r="R335" s="40">
        <f>VLOOKUP(D335,[1]apoio_Preços_MGS!$A$6:$AN$238,23,FALSE)</f>
        <v>0</v>
      </c>
      <c r="S335" s="40">
        <f>VLOOKUP(D335,[1]apoio_Preços_MGS!$A$6:$AN$238,24,FALSE)</f>
        <v>0</v>
      </c>
      <c r="T335" s="40">
        <f>VLOOKUP(D335,[1]apoio_Preços_MGS!$A$6:$AN$238,25,FALSE)</f>
        <v>0</v>
      </c>
      <c r="U335" s="40">
        <f t="shared" si="171"/>
        <v>2324.506966740576</v>
      </c>
      <c r="V335" s="41">
        <v>0.81799999999999995</v>
      </c>
      <c r="W335" s="40">
        <f t="shared" si="172"/>
        <v>1901.446698793791</v>
      </c>
      <c r="X335" s="40">
        <f>VLOOKUP(D335,[1]apoio_Preços_MGS!$A$6:$AN$238,29,FALSE)</f>
        <v>31.89</v>
      </c>
      <c r="Y335" s="40">
        <f>VLOOKUP(D335,[1]apoio_Preços_MGS!$A$6:$AN$238,30,FALSE)</f>
        <v>58.869660014781957</v>
      </c>
      <c r="Z335" s="40">
        <f t="shared" si="116"/>
        <v>90.759660014781957</v>
      </c>
      <c r="AA335" s="40">
        <f>VLOOKUP(D335,[1]apoio_Preços_MGS!$A$6:$AN$238,32,FALSE)</f>
        <v>4.4630533761419056</v>
      </c>
      <c r="AB335" s="40">
        <f>VLOOKUP(D335,[1]apoio_Preços_MGS!$A$6:$AN$238,33,FALSE)</f>
        <v>245.6109711751663</v>
      </c>
      <c r="AC335" s="41">
        <f>VLOOKUP(D335,[1]apoio_Preços_MGS!$A$6:$AN$238,34,FALSE)</f>
        <v>0</v>
      </c>
      <c r="AD335" s="40">
        <f>(U335+W335+Z335+AB335+AA335+VLOOKUP(C335,[1]apoio_Prec_Folha!$A:$S,7,FALSE))*AC335</f>
        <v>0</v>
      </c>
      <c r="AE335" s="42">
        <f>VLOOKUP(D335,[1]apoio_Preços_MGS!$A$6:$AN$238,36,FALSE)</f>
        <v>7.0000000000000007E-2</v>
      </c>
      <c r="AF335" s="40">
        <f>(U335+W335+Z335+AB335+AD335+AA335+VLOOKUP(C335,[1]apoio_Prec_Folha!$A:$S,7,FALSE))*AE335</f>
        <v>358.28571450703208</v>
      </c>
      <c r="AG335" s="40">
        <f t="shared" si="117"/>
        <v>4925.07</v>
      </c>
      <c r="AH335" s="43">
        <f t="shared" si="118"/>
        <v>5743.51</v>
      </c>
      <c r="AI335" s="43">
        <f t="shared" si="119"/>
        <v>11487.02</v>
      </c>
      <c r="AJ335" s="43">
        <f t="shared" si="120"/>
        <v>689221.20000000007</v>
      </c>
      <c r="AK335" s="44">
        <f>VLOOKUP(D335,[1]apoio_Preços_MGS!$A$6:$AN$238,39,FALSE)</f>
        <v>181.81818181818184</v>
      </c>
      <c r="AL335" s="44">
        <f>IF(J335="demais municípios",VLOOKUP(D335,[1]apoio_Preços_MGS!$A$6:$AN$238,39,FALSE),0)</f>
        <v>181.81818181818184</v>
      </c>
      <c r="AM335" s="44">
        <v>0</v>
      </c>
      <c r="AN335" s="45">
        <f t="shared" si="190"/>
        <v>363.63636363636368</v>
      </c>
      <c r="AO335" s="44">
        <f>VLOOKUP(D335,[1]apoio_Preços_MGS!$A$6:$AN$238,40,FALSE)</f>
        <v>551.58000000000004</v>
      </c>
      <c r="AP335" s="44">
        <f>IF(J335="demais municípios",VLOOKUP(D335,[1]apoio_Preços_MGS!$A$6:$AN$238,40,FALSE),0)</f>
        <v>551.58000000000004</v>
      </c>
      <c r="AQ335" s="44">
        <v>0</v>
      </c>
      <c r="AR335" s="45">
        <f t="shared" si="191"/>
        <v>1103.1600000000001</v>
      </c>
      <c r="AS335" s="45">
        <f t="shared" si="188"/>
        <v>1466.7963636363638</v>
      </c>
      <c r="AT335" s="45">
        <f t="shared" si="189"/>
        <v>88007.781818181829</v>
      </c>
      <c r="AU335" s="62"/>
      <c r="AV335" s="46"/>
      <c r="AW335" s="47"/>
      <c r="AX335" s="48"/>
      <c r="AY335" s="49"/>
      <c r="BA335" s="48"/>
    </row>
    <row r="336" spans="1:53" ht="19.5" customHeight="1" x14ac:dyDescent="0.25">
      <c r="A336" s="33" t="str">
        <f t="shared" si="184"/>
        <v>106216400,05</v>
      </c>
      <c r="B336" s="33" t="str">
        <f t="shared" si="185"/>
        <v>2340,05</v>
      </c>
      <c r="C336" s="34" t="str">
        <f>VLOOKUP(D336,[1]apoio_Preços_MGS!$A$6:$B$238,2,FALSE)</f>
        <v>JARDINEIRO</v>
      </c>
      <c r="D336" s="35">
        <v>234</v>
      </c>
      <c r="E336" s="33" t="str">
        <f>VLOOKUP(D336,[1]apoio_Preços_MGS!$A$6:$F$238,6,FALSE)</f>
        <v>JARDINEIRO - DIARISTA DIURNO - 40H</v>
      </c>
      <c r="F336" s="36">
        <f>IFERROR(VLOOKUP(D336,'[1]apoio_cód catmas'!$B$2:$C$863,2,FALSE),0)</f>
        <v>106216</v>
      </c>
      <c r="G336" s="33" t="str">
        <f>IF(H336="N/A",VLOOKUP(F336&amp;40,'[1]apoio_cód catmas'!$A$1:$G$233,4,FALSE),VLOOKUP(F336&amp;H336,'[1]apoio_cód catmas'!$A$1:$G$233,4,FALSE))</f>
        <v>JARDINEIRO - 40H OU 44H</v>
      </c>
      <c r="H336" s="36">
        <v>40</v>
      </c>
      <c r="I336" s="37">
        <v>0.05</v>
      </c>
      <c r="J336" s="38" t="s">
        <v>47</v>
      </c>
      <c r="K336" s="39">
        <v>29</v>
      </c>
      <c r="L336" s="39">
        <f t="shared" si="113"/>
        <v>1740</v>
      </c>
      <c r="M336" s="40">
        <f>VLOOKUP(D336,[1]apoio_Preços_MGS!$A$6:$AN$238,18,FALSE)</f>
        <v>2324.506966740576</v>
      </c>
      <c r="N336" s="40">
        <f>VLOOKUP(D336,[1]apoio_Preços_MGS!$A$6:$AN$238,19,FALSE)</f>
        <v>0</v>
      </c>
      <c r="O336" s="40">
        <f>VLOOKUP(D336,[1]apoio_Preços_MGS!$A$6:$AN$238,20,FALSE)</f>
        <v>0</v>
      </c>
      <c r="P336" s="40">
        <f>VLOOKUP(D336,[1]apoio_Preços_MGS!$A$6:$AN$238,21,FALSE)</f>
        <v>0</v>
      </c>
      <c r="Q336" s="40">
        <f>VLOOKUP(D336,[1]apoio_Preços_MGS!$A$6:$AN$238,22,FALSE)</f>
        <v>0</v>
      </c>
      <c r="R336" s="40">
        <f>VLOOKUP(D336,[1]apoio_Preços_MGS!$A$6:$AN$238,23,FALSE)</f>
        <v>0</v>
      </c>
      <c r="S336" s="40">
        <f>VLOOKUP(D336,[1]apoio_Preços_MGS!$A$6:$AN$238,24,FALSE)</f>
        <v>0</v>
      </c>
      <c r="T336" s="40">
        <f>VLOOKUP(D336,[1]apoio_Preços_MGS!$A$6:$AN$238,25,FALSE)</f>
        <v>0</v>
      </c>
      <c r="U336" s="40">
        <f t="shared" si="171"/>
        <v>2324.506966740576</v>
      </c>
      <c r="V336" s="41">
        <v>0.81799999999999995</v>
      </c>
      <c r="W336" s="40">
        <f t="shared" si="172"/>
        <v>1901.446698793791</v>
      </c>
      <c r="X336" s="40">
        <f>VLOOKUP(D336,[1]apoio_Preços_MGS!$A$6:$AN$238,29,FALSE)</f>
        <v>31.89</v>
      </c>
      <c r="Y336" s="40">
        <f>VLOOKUP(D336,[1]apoio_Preços_MGS!$A$6:$AN$238,30,FALSE)</f>
        <v>58.869660014781957</v>
      </c>
      <c r="Z336" s="40">
        <f t="shared" si="116"/>
        <v>90.759660014781957</v>
      </c>
      <c r="AA336" s="40">
        <f>VLOOKUP(D336,[1]apoio_Preços_MGS!$A$6:$AN$238,32,FALSE)</f>
        <v>4.4630533761419056</v>
      </c>
      <c r="AB336" s="40">
        <f>VLOOKUP(D336,[1]apoio_Preços_MGS!$A$6:$AN$238,33,FALSE)</f>
        <v>245.6109711751663</v>
      </c>
      <c r="AC336" s="41">
        <f>VLOOKUP(D336,[1]apoio_Preços_MGS!$A$6:$AN$238,34,FALSE)</f>
        <v>0</v>
      </c>
      <c r="AD336" s="40">
        <f>(U336+W336+Z336+AB336+AA336+VLOOKUP(C336,[1]apoio_Prec_Folha!$A:$S,7,FALSE))*AC336</f>
        <v>0</v>
      </c>
      <c r="AE336" s="42">
        <f>VLOOKUP(D336,[1]apoio_Preços_MGS!$A$6:$AN$238,36,FALSE)</f>
        <v>7.0000000000000007E-2</v>
      </c>
      <c r="AF336" s="40">
        <f>(U336+W336+Z336+AB336+AD336+AA336+VLOOKUP(C336,[1]apoio_Prec_Folha!$A:$S,7,FALSE))*AE336</f>
        <v>358.28571450703208</v>
      </c>
      <c r="AG336" s="40">
        <f t="shared" si="117"/>
        <v>4925.07</v>
      </c>
      <c r="AH336" s="43">
        <f t="shared" si="118"/>
        <v>5743.51</v>
      </c>
      <c r="AI336" s="43">
        <f t="shared" si="119"/>
        <v>166561.79</v>
      </c>
      <c r="AJ336" s="43">
        <f t="shared" si="120"/>
        <v>9993707.4000000004</v>
      </c>
      <c r="AK336" s="44">
        <f>VLOOKUP(D336,[1]apoio_Preços_MGS!$A$6:$AN$238,39,FALSE)</f>
        <v>181.81818181818184</v>
      </c>
      <c r="AL336" s="44">
        <f>IF(J336="demais municípios",VLOOKUP(D336,[1]apoio_Preços_MGS!$A$6:$AN$238,39,FALSE),0)</f>
        <v>0</v>
      </c>
      <c r="AM336" s="44">
        <f>TRUNC(ROUND(($I336)/(1-($I336)),5)*VLOOKUP(D336,[1]apoio_Preços_MGS!$A$6:$AN$238,39,FALSE)+VLOOKUP(D336,[1]apoio_Preços_MGS!$A$6:$AN$238,39,FALSE),2)</f>
        <v>191.38</v>
      </c>
      <c r="AN336" s="45">
        <f t="shared" si="186"/>
        <v>5550.0199999999995</v>
      </c>
      <c r="AO336" s="44">
        <f>VLOOKUP(D336,[1]apoio_Preços_MGS!$A$6:$AN$238,40,FALSE)</f>
        <v>551.58000000000004</v>
      </c>
      <c r="AP336" s="44">
        <f>IF(J336="demais municípios",VLOOKUP(D336,[1]apoio_Preços_MGS!$A$6:$AN$238,40,FALSE),0)</f>
        <v>0</v>
      </c>
      <c r="AQ336" s="44">
        <f>TRUNC(ROUND(($I336)/(1-($I336)),5)*VLOOKUP(D336,[1]apoio_Preços_MGS!$A$6:$AN$238,40,FALSE)+VLOOKUP(D336,[1]apoio_Preços_MGS!$A$6:$AN$238,40,FALSE),2)</f>
        <v>580.6</v>
      </c>
      <c r="AR336" s="45">
        <f t="shared" si="187"/>
        <v>16837.400000000001</v>
      </c>
      <c r="AS336" s="45">
        <f t="shared" si="188"/>
        <v>22387.420000000002</v>
      </c>
      <c r="AT336" s="45">
        <f t="shared" si="189"/>
        <v>1343245.2000000002</v>
      </c>
      <c r="AU336" s="62"/>
      <c r="AV336" s="46"/>
      <c r="AW336" s="47"/>
      <c r="AX336" s="48"/>
      <c r="AY336" s="49"/>
      <c r="BA336" s="48"/>
    </row>
    <row r="337" spans="1:53" ht="19.5" customHeight="1" x14ac:dyDescent="0.25">
      <c r="A337" s="33" t="str">
        <f t="shared" si="184"/>
        <v>106216440,02</v>
      </c>
      <c r="B337" s="33" t="str">
        <f t="shared" si="185"/>
        <v>2330,02</v>
      </c>
      <c r="C337" s="34" t="str">
        <f>VLOOKUP(D337,[1]apoio_Preços_MGS!$A$6:$B$238,2,FALSE)</f>
        <v>JARDINEIRO</v>
      </c>
      <c r="D337" s="35">
        <v>233</v>
      </c>
      <c r="E337" s="33" t="str">
        <f>VLOOKUP(D337,[1]apoio_Preços_MGS!$A$6:$F$238,6,FALSE)</f>
        <v>JARDINEIRO - DIARISTA DIURNO - 44H</v>
      </c>
      <c r="F337" s="36">
        <f>IFERROR(VLOOKUP(D337,'[1]apoio_cód catmas'!$B$2:$C$863,2,FALSE),0)</f>
        <v>106216</v>
      </c>
      <c r="G337" s="33" t="str">
        <f>IF(H337="N/A",VLOOKUP(F337&amp;40,'[1]apoio_cód catmas'!$A$1:$G$233,4,FALSE),VLOOKUP(F337&amp;H337,'[1]apoio_cód catmas'!$A$1:$G$233,4,FALSE))</f>
        <v>JARDINEIRO - 40H OU 44H</v>
      </c>
      <c r="H337" s="36">
        <v>44</v>
      </c>
      <c r="I337" s="37">
        <v>0.02</v>
      </c>
      <c r="J337" s="38" t="s">
        <v>46</v>
      </c>
      <c r="K337" s="39">
        <v>2</v>
      </c>
      <c r="L337" s="39">
        <f t="shared" si="113"/>
        <v>120</v>
      </c>
      <c r="M337" s="40">
        <f>VLOOKUP(D337,[1]apoio_Preços_MGS!$A$6:$AN$238,18,FALSE)</f>
        <v>2556.9576634146338</v>
      </c>
      <c r="N337" s="40">
        <f>VLOOKUP(D337,[1]apoio_Preços_MGS!$A$6:$AN$238,19,FALSE)</f>
        <v>0</v>
      </c>
      <c r="O337" s="40">
        <f>VLOOKUP(D337,[1]apoio_Preços_MGS!$A$6:$AN$238,20,FALSE)</f>
        <v>0</v>
      </c>
      <c r="P337" s="40">
        <f>VLOOKUP(D337,[1]apoio_Preços_MGS!$A$6:$AN$238,21,FALSE)</f>
        <v>0</v>
      </c>
      <c r="Q337" s="40">
        <f>VLOOKUP(D337,[1]apoio_Preços_MGS!$A$6:$AN$238,22,FALSE)</f>
        <v>0</v>
      </c>
      <c r="R337" s="40">
        <f>VLOOKUP(D337,[1]apoio_Preços_MGS!$A$6:$AN$238,23,FALSE)</f>
        <v>0</v>
      </c>
      <c r="S337" s="40">
        <f>VLOOKUP(D337,[1]apoio_Preços_MGS!$A$6:$AN$238,24,FALSE)</f>
        <v>0</v>
      </c>
      <c r="T337" s="40">
        <f>VLOOKUP(D337,[1]apoio_Preços_MGS!$A$6:$AN$238,25,FALSE)</f>
        <v>0</v>
      </c>
      <c r="U337" s="40">
        <f t="shared" si="171"/>
        <v>2556.9576634146338</v>
      </c>
      <c r="V337" s="41">
        <v>0.81799999999999995</v>
      </c>
      <c r="W337" s="40">
        <f t="shared" si="172"/>
        <v>2091.5913686731701</v>
      </c>
      <c r="X337" s="40">
        <f>VLOOKUP(D337,[1]apoio_Preços_MGS!$A$6:$AN$238,29,FALSE)</f>
        <v>31.89</v>
      </c>
      <c r="Y337" s="40">
        <f>VLOOKUP(D337,[1]apoio_Preços_MGS!$A$6:$AN$238,30,FALSE)</f>
        <v>58.869660014781957</v>
      </c>
      <c r="Z337" s="40">
        <f t="shared" si="116"/>
        <v>90.759660014781957</v>
      </c>
      <c r="AA337" s="40">
        <f>VLOOKUP(D337,[1]apoio_Preços_MGS!$A$6:$AN$238,32,FALSE)</f>
        <v>4.9093587137560961</v>
      </c>
      <c r="AB337" s="40">
        <f>VLOOKUP(D337,[1]apoio_Preços_MGS!$A$6:$AN$238,33,FALSE)</f>
        <v>236.46946341463413</v>
      </c>
      <c r="AC337" s="41">
        <f>VLOOKUP(D337,[1]apoio_Preços_MGS!$A$6:$AN$238,34,FALSE)</f>
        <v>0</v>
      </c>
      <c r="AD337" s="40">
        <f>(U337+W337+Z337+AB337+AA337+VLOOKUP(C337,[1]apoio_Prec_Folha!$A:$S,7,FALSE))*AC337</f>
        <v>0</v>
      </c>
      <c r="AE337" s="42">
        <f>VLOOKUP(D337,[1]apoio_Preços_MGS!$A$6:$AN$238,36,FALSE)</f>
        <v>7.0000000000000007E-2</v>
      </c>
      <c r="AF337" s="40">
        <f>(U337+W337+Z337+AB337+AD337+AA337+VLOOKUP(C337,[1]apoio_Prec_Folha!$A:$S,7,FALSE))*AE337</f>
        <v>387.25872599616838</v>
      </c>
      <c r="AG337" s="40">
        <f t="shared" si="117"/>
        <v>5367.94</v>
      </c>
      <c r="AH337" s="43">
        <f t="shared" si="118"/>
        <v>6048.38</v>
      </c>
      <c r="AI337" s="43">
        <f t="shared" si="119"/>
        <v>12096.76</v>
      </c>
      <c r="AJ337" s="43">
        <f t="shared" si="120"/>
        <v>725805.6</v>
      </c>
      <c r="AK337" s="44">
        <f>VLOOKUP(D337,[1]apoio_Preços_MGS!$A$6:$AN$238,39,FALSE)</f>
        <v>200.00000000000003</v>
      </c>
      <c r="AL337" s="44">
        <f>IF(J337="demais municípios",VLOOKUP(D337,[1]apoio_Preços_MGS!$A$6:$AN$238,39,FALSE),0)</f>
        <v>200.00000000000003</v>
      </c>
      <c r="AM337" s="44">
        <v>0</v>
      </c>
      <c r="AN337" s="45">
        <f t="shared" ref="AN337:AN340" si="192">AK337*K337</f>
        <v>400.00000000000006</v>
      </c>
      <c r="AO337" s="44">
        <f>VLOOKUP(D337,[1]apoio_Preços_MGS!$A$6:$AN$238,40,FALSE)</f>
        <v>551.58000000000004</v>
      </c>
      <c r="AP337" s="44">
        <f>IF(J337="demais municípios",VLOOKUP(D337,[1]apoio_Preços_MGS!$A$6:$AN$238,40,FALSE),0)</f>
        <v>551.58000000000004</v>
      </c>
      <c r="AQ337" s="44">
        <v>0</v>
      </c>
      <c r="AR337" s="45">
        <f t="shared" ref="AR337:AR340" si="193">AO337*K337</f>
        <v>1103.1600000000001</v>
      </c>
      <c r="AS337" s="45">
        <f t="shared" si="188"/>
        <v>1503.16</v>
      </c>
      <c r="AT337" s="45">
        <f t="shared" si="189"/>
        <v>90189.6</v>
      </c>
      <c r="AU337" s="62"/>
      <c r="AV337" s="46"/>
      <c r="AW337" s="47"/>
      <c r="AX337" s="48"/>
      <c r="AY337" s="49"/>
      <c r="BA337" s="48"/>
    </row>
    <row r="338" spans="1:53" ht="19.5" customHeight="1" x14ac:dyDescent="0.25">
      <c r="A338" s="33" t="str">
        <f t="shared" si="184"/>
        <v>106216440,02</v>
      </c>
      <c r="B338" s="33" t="str">
        <f t="shared" si="185"/>
        <v>2330,02</v>
      </c>
      <c r="C338" s="34" t="str">
        <f>VLOOKUP(D338,[1]apoio_Preços_MGS!$A$6:$B$238,2,FALSE)</f>
        <v>JARDINEIRO</v>
      </c>
      <c r="D338" s="35">
        <v>233</v>
      </c>
      <c r="E338" s="33" t="str">
        <f>VLOOKUP(D338,[1]apoio_Preços_MGS!$A$6:$F$238,6,FALSE)</f>
        <v>JARDINEIRO - DIARISTA DIURNO - 44H</v>
      </c>
      <c r="F338" s="36">
        <f>IFERROR(VLOOKUP(D338,'[1]apoio_cód catmas'!$B$2:$C$863,2,FALSE),0)</f>
        <v>106216</v>
      </c>
      <c r="G338" s="33" t="str">
        <f>IF(H338="N/A",VLOOKUP(F338&amp;40,'[1]apoio_cód catmas'!$A$1:$G$233,4,FALSE),VLOOKUP(F338&amp;H338,'[1]apoio_cód catmas'!$A$1:$G$233,4,FALSE))</f>
        <v>JARDINEIRO - 40H OU 44H</v>
      </c>
      <c r="H338" s="36">
        <v>44</v>
      </c>
      <c r="I338" s="37">
        <v>0.02</v>
      </c>
      <c r="J338" s="38" t="s">
        <v>46</v>
      </c>
      <c r="K338" s="39">
        <v>2</v>
      </c>
      <c r="L338" s="39">
        <f>K338*56</f>
        <v>112</v>
      </c>
      <c r="M338" s="40">
        <f>VLOOKUP(D338,[1]apoio_Preços_MGS!$A$6:$AN$238,18,FALSE)</f>
        <v>2556.9576634146338</v>
      </c>
      <c r="N338" s="40">
        <f>VLOOKUP(D338,[1]apoio_Preços_MGS!$A$6:$AN$238,19,FALSE)</f>
        <v>0</v>
      </c>
      <c r="O338" s="40">
        <f>VLOOKUP(D338,[1]apoio_Preços_MGS!$A$6:$AN$238,20,FALSE)</f>
        <v>0</v>
      </c>
      <c r="P338" s="40">
        <f>VLOOKUP(D338,[1]apoio_Preços_MGS!$A$6:$AN$238,21,FALSE)</f>
        <v>0</v>
      </c>
      <c r="Q338" s="40">
        <f>VLOOKUP(D338,[1]apoio_Preços_MGS!$A$6:$AN$238,22,FALSE)</f>
        <v>0</v>
      </c>
      <c r="R338" s="40">
        <f>VLOOKUP(D338,[1]apoio_Preços_MGS!$A$6:$AN$238,23,FALSE)</f>
        <v>0</v>
      </c>
      <c r="S338" s="40">
        <f>VLOOKUP(D338,[1]apoio_Preços_MGS!$A$6:$AN$238,24,FALSE)</f>
        <v>0</v>
      </c>
      <c r="T338" s="40">
        <f>VLOOKUP(D338,[1]apoio_Preços_MGS!$A$6:$AN$238,25,FALSE)</f>
        <v>0</v>
      </c>
      <c r="U338" s="40">
        <f t="shared" si="171"/>
        <v>2556.9576634146338</v>
      </c>
      <c r="V338" s="41">
        <v>0.81799999999999995</v>
      </c>
      <c r="W338" s="40">
        <f t="shared" si="172"/>
        <v>2091.5913686731701</v>
      </c>
      <c r="X338" s="40">
        <f>VLOOKUP(D338,[1]apoio_Preços_MGS!$A$6:$AN$238,29,FALSE)</f>
        <v>31.89</v>
      </c>
      <c r="Y338" s="40">
        <f>VLOOKUP(D338,[1]apoio_Preços_MGS!$A$6:$AN$238,30,FALSE)</f>
        <v>58.869660014781957</v>
      </c>
      <c r="Z338" s="40">
        <f t="shared" si="116"/>
        <v>90.759660014781957</v>
      </c>
      <c r="AA338" s="40">
        <f>VLOOKUP(D338,[1]apoio_Preços_MGS!$A$6:$AN$238,32,FALSE)</f>
        <v>4.9093587137560961</v>
      </c>
      <c r="AB338" s="40">
        <f>VLOOKUP(D338,[1]apoio_Preços_MGS!$A$6:$AN$238,33,FALSE)</f>
        <v>236.46946341463413</v>
      </c>
      <c r="AC338" s="41">
        <f>VLOOKUP(D338,[1]apoio_Preços_MGS!$A$6:$AN$238,34,FALSE)</f>
        <v>0</v>
      </c>
      <c r="AD338" s="40">
        <f>(U338+W338+Z338+AB338+AA338+VLOOKUP(C338,[1]apoio_Prec_Folha!$A:$S,7,FALSE))*AC338</f>
        <v>0</v>
      </c>
      <c r="AE338" s="42">
        <f>VLOOKUP(D338,[1]apoio_Preços_MGS!$A$6:$AN$238,36,FALSE)</f>
        <v>7.0000000000000007E-2</v>
      </c>
      <c r="AF338" s="40">
        <f>(U338+W338+Z338+AB338+AD338+AA338+VLOOKUP(C338,[1]apoio_Prec_Folha!$A:$S,7,FALSE))*AE338</f>
        <v>387.25872599616838</v>
      </c>
      <c r="AG338" s="40">
        <f t="shared" si="117"/>
        <v>5367.94</v>
      </c>
      <c r="AH338" s="43">
        <f t="shared" si="118"/>
        <v>6048.38</v>
      </c>
      <c r="AI338" s="43">
        <f t="shared" si="119"/>
        <v>12096.76</v>
      </c>
      <c r="AJ338" s="43">
        <f t="shared" si="120"/>
        <v>677418.56</v>
      </c>
      <c r="AK338" s="44">
        <f>VLOOKUP(D338,[1]apoio_Preços_MGS!$A$6:$AN$238,39,FALSE)</f>
        <v>200.00000000000003</v>
      </c>
      <c r="AL338" s="44">
        <f>IF(J338="demais municípios",VLOOKUP(D338,[1]apoio_Preços_MGS!$A$6:$AN$238,39,FALSE),0)</f>
        <v>200.00000000000003</v>
      </c>
      <c r="AM338" s="44">
        <v>0</v>
      </c>
      <c r="AN338" s="45">
        <f t="shared" si="192"/>
        <v>400.00000000000006</v>
      </c>
      <c r="AO338" s="44">
        <f>VLOOKUP(D338,[1]apoio_Preços_MGS!$A$6:$AN$238,40,FALSE)</f>
        <v>551.58000000000004</v>
      </c>
      <c r="AP338" s="44">
        <f>IF(J338="demais municípios",VLOOKUP(D338,[1]apoio_Preços_MGS!$A$6:$AN$238,40,FALSE),0)</f>
        <v>551.58000000000004</v>
      </c>
      <c r="AQ338" s="44">
        <v>0</v>
      </c>
      <c r="AR338" s="45">
        <f t="shared" si="193"/>
        <v>1103.1600000000001</v>
      </c>
      <c r="AS338" s="45">
        <f t="shared" si="188"/>
        <v>1503.16</v>
      </c>
      <c r="AT338" s="45">
        <f t="shared" si="189"/>
        <v>90189.6</v>
      </c>
      <c r="AU338" s="62"/>
      <c r="AV338" s="46"/>
      <c r="AW338" s="47"/>
      <c r="AX338" s="48"/>
      <c r="AY338" s="49"/>
      <c r="BA338" s="48"/>
    </row>
    <row r="339" spans="1:53" ht="19.5" customHeight="1" x14ac:dyDescent="0.25">
      <c r="A339" s="33" t="str">
        <f t="shared" si="184"/>
        <v>106216440,03</v>
      </c>
      <c r="B339" s="33" t="str">
        <f t="shared" si="185"/>
        <v>2330,03</v>
      </c>
      <c r="C339" s="34" t="str">
        <f>VLOOKUP(D339,[1]apoio_Preços_MGS!$A$6:$B$238,2,FALSE)</f>
        <v>JARDINEIRO</v>
      </c>
      <c r="D339" s="35">
        <v>233</v>
      </c>
      <c r="E339" s="33" t="str">
        <f>VLOOKUP(D339,[1]apoio_Preços_MGS!$A$6:$F$238,6,FALSE)</f>
        <v>JARDINEIRO - DIARISTA DIURNO - 44H</v>
      </c>
      <c r="F339" s="36">
        <f>IFERROR(VLOOKUP(D339,'[1]apoio_cód catmas'!$B$2:$C$863,2,FALSE),0)</f>
        <v>106216</v>
      </c>
      <c r="G339" s="33" t="str">
        <f>IF(H339="N/A",VLOOKUP(F339&amp;40,'[1]apoio_cód catmas'!$A$1:$G$233,4,FALSE),VLOOKUP(F339&amp;H339,'[1]apoio_cód catmas'!$A$1:$G$233,4,FALSE))</f>
        <v>JARDINEIRO - 40H OU 44H</v>
      </c>
      <c r="H339" s="36">
        <v>44</v>
      </c>
      <c r="I339" s="37">
        <v>0.03</v>
      </c>
      <c r="J339" s="38" t="s">
        <v>46</v>
      </c>
      <c r="K339" s="39">
        <v>8</v>
      </c>
      <c r="L339" s="39">
        <f t="shared" si="113"/>
        <v>480</v>
      </c>
      <c r="M339" s="40">
        <f>VLOOKUP(D339,[1]apoio_Preços_MGS!$A$6:$AN$238,18,FALSE)</f>
        <v>2556.9576634146338</v>
      </c>
      <c r="N339" s="40">
        <f>VLOOKUP(D339,[1]apoio_Preços_MGS!$A$6:$AN$238,19,FALSE)</f>
        <v>0</v>
      </c>
      <c r="O339" s="40">
        <f>VLOOKUP(D339,[1]apoio_Preços_MGS!$A$6:$AN$238,20,FALSE)</f>
        <v>0</v>
      </c>
      <c r="P339" s="40">
        <f>VLOOKUP(D339,[1]apoio_Preços_MGS!$A$6:$AN$238,21,FALSE)</f>
        <v>0</v>
      </c>
      <c r="Q339" s="40">
        <f>VLOOKUP(D339,[1]apoio_Preços_MGS!$A$6:$AN$238,22,FALSE)</f>
        <v>0</v>
      </c>
      <c r="R339" s="40">
        <f>VLOOKUP(D339,[1]apoio_Preços_MGS!$A$6:$AN$238,23,FALSE)</f>
        <v>0</v>
      </c>
      <c r="S339" s="40">
        <f>VLOOKUP(D339,[1]apoio_Preços_MGS!$A$6:$AN$238,24,FALSE)</f>
        <v>0</v>
      </c>
      <c r="T339" s="40">
        <f>VLOOKUP(D339,[1]apoio_Preços_MGS!$A$6:$AN$238,25,FALSE)</f>
        <v>0</v>
      </c>
      <c r="U339" s="40">
        <f t="shared" si="171"/>
        <v>2556.9576634146338</v>
      </c>
      <c r="V339" s="41">
        <v>0.81799999999999995</v>
      </c>
      <c r="W339" s="40">
        <f t="shared" si="172"/>
        <v>2091.5913686731701</v>
      </c>
      <c r="X339" s="40">
        <f>VLOOKUP(D339,[1]apoio_Preços_MGS!$A$6:$AN$238,29,FALSE)</f>
        <v>31.89</v>
      </c>
      <c r="Y339" s="40">
        <f>VLOOKUP(D339,[1]apoio_Preços_MGS!$A$6:$AN$238,30,FALSE)</f>
        <v>58.869660014781957</v>
      </c>
      <c r="Z339" s="40">
        <f t="shared" si="116"/>
        <v>90.759660014781957</v>
      </c>
      <c r="AA339" s="40">
        <f>VLOOKUP(D339,[1]apoio_Preços_MGS!$A$6:$AN$238,32,FALSE)</f>
        <v>4.9093587137560961</v>
      </c>
      <c r="AB339" s="40">
        <f>VLOOKUP(D339,[1]apoio_Preços_MGS!$A$6:$AN$238,33,FALSE)</f>
        <v>236.46946341463413</v>
      </c>
      <c r="AC339" s="41">
        <f>VLOOKUP(D339,[1]apoio_Preços_MGS!$A$6:$AN$238,34,FALSE)</f>
        <v>0</v>
      </c>
      <c r="AD339" s="40">
        <f>(U339+W339+Z339+AB339+AA339+VLOOKUP(C339,[1]apoio_Prec_Folha!$A:$S,7,FALSE))*AC339</f>
        <v>0</v>
      </c>
      <c r="AE339" s="42">
        <f>VLOOKUP(D339,[1]apoio_Preços_MGS!$A$6:$AN$238,36,FALSE)</f>
        <v>7.0000000000000007E-2</v>
      </c>
      <c r="AF339" s="40">
        <f>(U339+W339+Z339+AB339+AD339+AA339+VLOOKUP(C339,[1]apoio_Prec_Folha!$A:$S,7,FALSE))*AE339</f>
        <v>387.25872599616838</v>
      </c>
      <c r="AG339" s="40">
        <f t="shared" si="117"/>
        <v>5367.94</v>
      </c>
      <c r="AH339" s="43">
        <f t="shared" si="118"/>
        <v>6117.3</v>
      </c>
      <c r="AI339" s="43">
        <f t="shared" si="119"/>
        <v>48938.400000000001</v>
      </c>
      <c r="AJ339" s="43">
        <f t="shared" si="120"/>
        <v>2936304</v>
      </c>
      <c r="AK339" s="44">
        <f>VLOOKUP(D339,[1]apoio_Preços_MGS!$A$6:$AN$238,39,FALSE)</f>
        <v>200.00000000000003</v>
      </c>
      <c r="AL339" s="44">
        <f>IF(J339="demais municípios",VLOOKUP(D339,[1]apoio_Preços_MGS!$A$6:$AN$238,39,FALSE),0)</f>
        <v>200.00000000000003</v>
      </c>
      <c r="AM339" s="44">
        <v>0</v>
      </c>
      <c r="AN339" s="45">
        <f t="shared" si="192"/>
        <v>1600.0000000000002</v>
      </c>
      <c r="AO339" s="44">
        <f>VLOOKUP(D339,[1]apoio_Preços_MGS!$A$6:$AN$238,40,FALSE)</f>
        <v>551.58000000000004</v>
      </c>
      <c r="AP339" s="44">
        <f>IF(J339="demais municípios",VLOOKUP(D339,[1]apoio_Preços_MGS!$A$6:$AN$238,40,FALSE),0)</f>
        <v>551.58000000000004</v>
      </c>
      <c r="AQ339" s="44">
        <v>0</v>
      </c>
      <c r="AR339" s="45">
        <f t="shared" si="193"/>
        <v>4412.6400000000003</v>
      </c>
      <c r="AS339" s="45">
        <f t="shared" si="188"/>
        <v>6012.64</v>
      </c>
      <c r="AT339" s="45">
        <f t="shared" si="189"/>
        <v>360758.4</v>
      </c>
      <c r="AU339" s="62"/>
      <c r="AV339" s="46"/>
      <c r="AW339" s="47"/>
      <c r="AX339" s="48"/>
      <c r="AY339" s="49"/>
      <c r="BA339" s="48"/>
    </row>
    <row r="340" spans="1:53" ht="19.5" customHeight="1" x14ac:dyDescent="0.25">
      <c r="A340" s="33" t="str">
        <f t="shared" si="184"/>
        <v>106216440,05</v>
      </c>
      <c r="B340" s="33" t="str">
        <f t="shared" si="185"/>
        <v>2330,05</v>
      </c>
      <c r="C340" s="34" t="str">
        <f>VLOOKUP(D340,[1]apoio_Preços_MGS!$A$6:$B$238,2,FALSE)</f>
        <v>JARDINEIRO</v>
      </c>
      <c r="D340" s="35">
        <v>233</v>
      </c>
      <c r="E340" s="33" t="str">
        <f>VLOOKUP(D340,[1]apoio_Preços_MGS!$A$6:$F$238,6,FALSE)</f>
        <v>JARDINEIRO - DIARISTA DIURNO - 44H</v>
      </c>
      <c r="F340" s="36">
        <f>IFERROR(VLOOKUP(D340,'[1]apoio_cód catmas'!$B$2:$C$863,2,FALSE),0)</f>
        <v>106216</v>
      </c>
      <c r="G340" s="33" t="str">
        <f>IF(H340="N/A",VLOOKUP(F340&amp;40,'[1]apoio_cód catmas'!$A$1:$G$233,4,FALSE),VLOOKUP(F340&amp;H340,'[1]apoio_cód catmas'!$A$1:$G$233,4,FALSE))</f>
        <v>JARDINEIRO - 40H OU 44H</v>
      </c>
      <c r="H340" s="36">
        <v>44</v>
      </c>
      <c r="I340" s="37">
        <v>0.05</v>
      </c>
      <c r="J340" s="38" t="s">
        <v>46</v>
      </c>
      <c r="K340" s="39">
        <f>25-K341</f>
        <v>1</v>
      </c>
      <c r="L340" s="39">
        <f t="shared" si="113"/>
        <v>60</v>
      </c>
      <c r="M340" s="40">
        <f>VLOOKUP(D340,[1]apoio_Preços_MGS!$A$6:$AN$238,18,FALSE)</f>
        <v>2556.9576634146338</v>
      </c>
      <c r="N340" s="40">
        <f>VLOOKUP(D340,[1]apoio_Preços_MGS!$A$6:$AN$238,19,FALSE)</f>
        <v>0</v>
      </c>
      <c r="O340" s="40">
        <f>VLOOKUP(D340,[1]apoio_Preços_MGS!$A$6:$AN$238,20,FALSE)</f>
        <v>0</v>
      </c>
      <c r="P340" s="40">
        <f>VLOOKUP(D340,[1]apoio_Preços_MGS!$A$6:$AN$238,21,FALSE)</f>
        <v>0</v>
      </c>
      <c r="Q340" s="40">
        <f>VLOOKUP(D340,[1]apoio_Preços_MGS!$A$6:$AN$238,22,FALSE)</f>
        <v>0</v>
      </c>
      <c r="R340" s="40">
        <f>VLOOKUP(D340,[1]apoio_Preços_MGS!$A$6:$AN$238,23,FALSE)</f>
        <v>0</v>
      </c>
      <c r="S340" s="40">
        <f>VLOOKUP(D340,[1]apoio_Preços_MGS!$A$6:$AN$238,24,FALSE)</f>
        <v>0</v>
      </c>
      <c r="T340" s="40">
        <f>VLOOKUP(D340,[1]apoio_Preços_MGS!$A$6:$AN$238,25,FALSE)</f>
        <v>0</v>
      </c>
      <c r="U340" s="40">
        <f t="shared" si="171"/>
        <v>2556.9576634146338</v>
      </c>
      <c r="V340" s="41">
        <v>0.81799999999999995</v>
      </c>
      <c r="W340" s="40">
        <f t="shared" si="172"/>
        <v>2091.5913686731701</v>
      </c>
      <c r="X340" s="40">
        <f>VLOOKUP(D340,[1]apoio_Preços_MGS!$A$6:$AN$238,29,FALSE)</f>
        <v>31.89</v>
      </c>
      <c r="Y340" s="40">
        <f>VLOOKUP(D340,[1]apoio_Preços_MGS!$A$6:$AN$238,30,FALSE)</f>
        <v>58.869660014781957</v>
      </c>
      <c r="Z340" s="40">
        <f t="shared" si="116"/>
        <v>90.759660014781957</v>
      </c>
      <c r="AA340" s="40">
        <f>VLOOKUP(D340,[1]apoio_Preços_MGS!$A$6:$AN$238,32,FALSE)</f>
        <v>4.9093587137560961</v>
      </c>
      <c r="AB340" s="40">
        <f>VLOOKUP(D340,[1]apoio_Preços_MGS!$A$6:$AN$238,33,FALSE)</f>
        <v>236.46946341463413</v>
      </c>
      <c r="AC340" s="41">
        <f>VLOOKUP(D340,[1]apoio_Preços_MGS!$A$6:$AN$238,34,FALSE)</f>
        <v>0</v>
      </c>
      <c r="AD340" s="40">
        <f>(U340+W340+Z340+AB340+AA340+VLOOKUP(C340,[1]apoio_Prec_Folha!$A:$S,7,FALSE))*AC340</f>
        <v>0</v>
      </c>
      <c r="AE340" s="42">
        <f>VLOOKUP(D340,[1]apoio_Preços_MGS!$A$6:$AN$238,36,FALSE)</f>
        <v>7.0000000000000007E-2</v>
      </c>
      <c r="AF340" s="40">
        <f>(U340+W340+Z340+AB340+AD340+AA340+VLOOKUP(C340,[1]apoio_Prec_Folha!$A:$S,7,FALSE))*AE340</f>
        <v>387.25872599616838</v>
      </c>
      <c r="AG340" s="40">
        <f t="shared" si="117"/>
        <v>5367.94</v>
      </c>
      <c r="AH340" s="43">
        <f t="shared" si="118"/>
        <v>6259.98</v>
      </c>
      <c r="AI340" s="43">
        <f t="shared" si="119"/>
        <v>6259.98</v>
      </c>
      <c r="AJ340" s="43">
        <f t="shared" si="120"/>
        <v>375598.8</v>
      </c>
      <c r="AK340" s="44">
        <f>VLOOKUP(D340,[1]apoio_Preços_MGS!$A$6:$AN$238,39,FALSE)</f>
        <v>200.00000000000003</v>
      </c>
      <c r="AL340" s="44">
        <f>IF(J340="demais municípios",VLOOKUP(D340,[1]apoio_Preços_MGS!$A$6:$AN$238,39,FALSE),0)</f>
        <v>200.00000000000003</v>
      </c>
      <c r="AM340" s="44">
        <v>0</v>
      </c>
      <c r="AN340" s="45">
        <f t="shared" si="192"/>
        <v>200.00000000000003</v>
      </c>
      <c r="AO340" s="44">
        <f>VLOOKUP(D340,[1]apoio_Preços_MGS!$A$6:$AN$238,40,FALSE)</f>
        <v>551.58000000000004</v>
      </c>
      <c r="AP340" s="44">
        <f>IF(J340="demais municípios",VLOOKUP(D340,[1]apoio_Preços_MGS!$A$6:$AN$238,40,FALSE),0)</f>
        <v>551.58000000000004</v>
      </c>
      <c r="AQ340" s="44">
        <v>0</v>
      </c>
      <c r="AR340" s="45">
        <f t="shared" si="193"/>
        <v>551.58000000000004</v>
      </c>
      <c r="AS340" s="45">
        <f t="shared" si="188"/>
        <v>751.58</v>
      </c>
      <c r="AT340" s="45">
        <f t="shared" si="189"/>
        <v>45094.8</v>
      </c>
      <c r="AU340" s="62"/>
      <c r="AV340" s="46"/>
      <c r="AW340" s="47"/>
      <c r="AX340" s="48"/>
      <c r="AY340" s="49"/>
      <c r="BA340" s="48"/>
    </row>
    <row r="341" spans="1:53" ht="19.5" customHeight="1" x14ac:dyDescent="0.25">
      <c r="A341" s="33" t="str">
        <f t="shared" si="184"/>
        <v>106216440,05</v>
      </c>
      <c r="B341" s="33" t="str">
        <f t="shared" si="185"/>
        <v>2330,05</v>
      </c>
      <c r="C341" s="34" t="str">
        <f>VLOOKUP(D341,[1]apoio_Preços_MGS!$A$6:$B$238,2,FALSE)</f>
        <v>JARDINEIRO</v>
      </c>
      <c r="D341" s="35">
        <v>233</v>
      </c>
      <c r="E341" s="33" t="str">
        <f>VLOOKUP(D341,[1]apoio_Preços_MGS!$A$6:$F$238,6,FALSE)</f>
        <v>JARDINEIRO - DIARISTA DIURNO - 44H</v>
      </c>
      <c r="F341" s="36">
        <f>IFERROR(VLOOKUP(D341,'[1]apoio_cód catmas'!$B$2:$C$863,2,FALSE),0)</f>
        <v>106216</v>
      </c>
      <c r="G341" s="33" t="str">
        <f>IF(H341="N/A",VLOOKUP(F341&amp;40,'[1]apoio_cód catmas'!$A$1:$G$233,4,FALSE),VLOOKUP(F341&amp;H341,'[1]apoio_cód catmas'!$A$1:$G$233,4,FALSE))</f>
        <v>JARDINEIRO - 40H OU 44H</v>
      </c>
      <c r="H341" s="36">
        <v>44</v>
      </c>
      <c r="I341" s="37">
        <v>0.05</v>
      </c>
      <c r="J341" s="38" t="s">
        <v>47</v>
      </c>
      <c r="K341" s="39">
        <v>24</v>
      </c>
      <c r="L341" s="39">
        <f t="shared" si="113"/>
        <v>1440</v>
      </c>
      <c r="M341" s="40">
        <f>VLOOKUP(D341,[1]apoio_Preços_MGS!$A$6:$AN$238,18,FALSE)</f>
        <v>2556.9576634146338</v>
      </c>
      <c r="N341" s="40">
        <f>VLOOKUP(D341,[1]apoio_Preços_MGS!$A$6:$AN$238,19,FALSE)</f>
        <v>0</v>
      </c>
      <c r="O341" s="40">
        <f>VLOOKUP(D341,[1]apoio_Preços_MGS!$A$6:$AN$238,20,FALSE)</f>
        <v>0</v>
      </c>
      <c r="P341" s="40">
        <f>VLOOKUP(D341,[1]apoio_Preços_MGS!$A$6:$AN$238,21,FALSE)</f>
        <v>0</v>
      </c>
      <c r="Q341" s="40">
        <f>VLOOKUP(D341,[1]apoio_Preços_MGS!$A$6:$AN$238,22,FALSE)</f>
        <v>0</v>
      </c>
      <c r="R341" s="40">
        <f>VLOOKUP(D341,[1]apoio_Preços_MGS!$A$6:$AN$238,23,FALSE)</f>
        <v>0</v>
      </c>
      <c r="S341" s="40">
        <f>VLOOKUP(D341,[1]apoio_Preços_MGS!$A$6:$AN$238,24,FALSE)</f>
        <v>0</v>
      </c>
      <c r="T341" s="40">
        <f>VLOOKUP(D341,[1]apoio_Preços_MGS!$A$6:$AN$238,25,FALSE)</f>
        <v>0</v>
      </c>
      <c r="U341" s="40">
        <f t="shared" si="171"/>
        <v>2556.9576634146338</v>
      </c>
      <c r="V341" s="41">
        <v>0.81799999999999995</v>
      </c>
      <c r="W341" s="40">
        <f t="shared" si="172"/>
        <v>2091.5913686731701</v>
      </c>
      <c r="X341" s="40">
        <f>VLOOKUP(D341,[1]apoio_Preços_MGS!$A$6:$AN$238,29,FALSE)</f>
        <v>31.89</v>
      </c>
      <c r="Y341" s="40">
        <f>VLOOKUP(D341,[1]apoio_Preços_MGS!$A$6:$AN$238,30,FALSE)</f>
        <v>58.869660014781957</v>
      </c>
      <c r="Z341" s="40">
        <f t="shared" si="116"/>
        <v>90.759660014781957</v>
      </c>
      <c r="AA341" s="40">
        <f>VLOOKUP(D341,[1]apoio_Preços_MGS!$A$6:$AN$238,32,FALSE)</f>
        <v>4.9093587137560961</v>
      </c>
      <c r="AB341" s="40">
        <f>VLOOKUP(D341,[1]apoio_Preços_MGS!$A$6:$AN$238,33,FALSE)</f>
        <v>236.46946341463413</v>
      </c>
      <c r="AC341" s="41">
        <f>VLOOKUP(D341,[1]apoio_Preços_MGS!$A$6:$AN$238,34,FALSE)</f>
        <v>0</v>
      </c>
      <c r="AD341" s="40">
        <f>(U341+W341+Z341+AB341+AA341+VLOOKUP(C341,[1]apoio_Prec_Folha!$A:$S,7,FALSE))*AC341</f>
        <v>0</v>
      </c>
      <c r="AE341" s="42">
        <f>VLOOKUP(D341,[1]apoio_Preços_MGS!$A$6:$AN$238,36,FALSE)</f>
        <v>7.0000000000000007E-2</v>
      </c>
      <c r="AF341" s="40">
        <f>(U341+W341+Z341+AB341+AD341+AA341+VLOOKUP(C341,[1]apoio_Prec_Folha!$A:$S,7,FALSE))*AE341</f>
        <v>387.25872599616838</v>
      </c>
      <c r="AG341" s="40">
        <f t="shared" si="117"/>
        <v>5367.94</v>
      </c>
      <c r="AH341" s="43">
        <f t="shared" si="118"/>
        <v>6259.98</v>
      </c>
      <c r="AI341" s="43">
        <f t="shared" si="119"/>
        <v>150239.51999999999</v>
      </c>
      <c r="AJ341" s="43">
        <f t="shared" si="120"/>
        <v>9014371.1999999993</v>
      </c>
      <c r="AK341" s="44">
        <f>VLOOKUP(D341,[1]apoio_Preços_MGS!$A$6:$AN$238,39,FALSE)</f>
        <v>200.00000000000003</v>
      </c>
      <c r="AL341" s="44">
        <f>IF(J341="demais municípios",VLOOKUP(D341,[1]apoio_Preços_MGS!$A$6:$AN$238,39,FALSE),0)</f>
        <v>0</v>
      </c>
      <c r="AM341" s="44">
        <f>TRUNC(ROUND(($I341)/(1-($I341)),5)*VLOOKUP(D341,[1]apoio_Preços_MGS!$A$6:$AN$238,39,FALSE)+VLOOKUP(D341,[1]apoio_Preços_MGS!$A$6:$AN$238,39,FALSE),2)</f>
        <v>210.52</v>
      </c>
      <c r="AN341" s="45">
        <f t="shared" si="186"/>
        <v>5052.4800000000005</v>
      </c>
      <c r="AO341" s="44">
        <f>VLOOKUP(D341,[1]apoio_Preços_MGS!$A$6:$AN$238,40,FALSE)</f>
        <v>551.58000000000004</v>
      </c>
      <c r="AP341" s="44">
        <f>IF(J341="demais municípios",VLOOKUP(D341,[1]apoio_Preços_MGS!$A$6:$AN$238,40,FALSE),0)</f>
        <v>0</v>
      </c>
      <c r="AQ341" s="44">
        <f>TRUNC(ROUND(($I341)/(1-($I341)),5)*VLOOKUP(D341,[1]apoio_Preços_MGS!$A$6:$AN$238,40,FALSE)+VLOOKUP(D341,[1]apoio_Preços_MGS!$A$6:$AN$238,40,FALSE),2)</f>
        <v>580.6</v>
      </c>
      <c r="AR341" s="45">
        <f t="shared" si="187"/>
        <v>13934.400000000001</v>
      </c>
      <c r="AS341" s="45">
        <f t="shared" si="188"/>
        <v>18986.88</v>
      </c>
      <c r="AT341" s="45">
        <f t="shared" si="189"/>
        <v>1139212.8</v>
      </c>
      <c r="AU341" s="62"/>
      <c r="AV341" s="46"/>
      <c r="AW341" s="47"/>
      <c r="AX341" s="48"/>
      <c r="AY341" s="49"/>
      <c r="BA341" s="48"/>
    </row>
    <row r="342" spans="1:53" ht="19.5" customHeight="1" x14ac:dyDescent="0.25">
      <c r="A342" s="33" t="str">
        <f t="shared" si="184"/>
        <v>146234400,02</v>
      </c>
      <c r="B342" s="33" t="str">
        <f t="shared" si="185"/>
        <v>19000,02</v>
      </c>
      <c r="C342" s="34" t="str">
        <f>VLOOKUP(D342,[1]apoio_Preços_MGS!$A$6:$B$238,2,FALSE)</f>
        <v>JARDINEIRO</v>
      </c>
      <c r="D342" s="35">
        <v>1900</v>
      </c>
      <c r="E342" s="33" t="str">
        <f>VLOOKUP(D342,[1]apoio_Preços_MGS!$A$6:$F$238,6,FALSE)</f>
        <v>JARDINEIRO - (PERIC.) - DIARISTA DIURNO - 40H</v>
      </c>
      <c r="F342" s="36">
        <f>IFERROR(VLOOKUP(D342,'[1]apoio_cód catmas'!$B$2:$C$863,2,FALSE),0)</f>
        <v>146234</v>
      </c>
      <c r="G342" s="33" t="str">
        <f>IF(H342="N/A",VLOOKUP(F342&amp;40,'[1]apoio_cód catmas'!$A$1:$G$233,4,FALSE),VLOOKUP(F342&amp;H342,'[1]apoio_cód catmas'!$A$1:$G$233,4,FALSE))</f>
        <v>JARDINEIRO - (PERICULOSIDADE) - 40H OU 44H</v>
      </c>
      <c r="H342" s="36">
        <v>40</v>
      </c>
      <c r="I342" s="37">
        <v>0.02</v>
      </c>
      <c r="J342" s="38" t="s">
        <v>46</v>
      </c>
      <c r="K342" s="39">
        <v>1</v>
      </c>
      <c r="L342" s="39">
        <f>K342*52</f>
        <v>52</v>
      </c>
      <c r="M342" s="40">
        <f>VLOOKUP(D342,[1]apoio_Preços_MGS!$A$6:$AN$238,18,FALSE)</f>
        <v>2324.506966740576</v>
      </c>
      <c r="N342" s="40">
        <f>VLOOKUP(D342,[1]apoio_Preços_MGS!$A$6:$AN$238,19,FALSE)</f>
        <v>697.35209002217277</v>
      </c>
      <c r="O342" s="40">
        <f>VLOOKUP(D342,[1]apoio_Preços_MGS!$A$6:$AN$238,20,FALSE)</f>
        <v>0</v>
      </c>
      <c r="P342" s="40">
        <f>VLOOKUP(D342,[1]apoio_Preços_MGS!$A$6:$AN$238,21,FALSE)</f>
        <v>0</v>
      </c>
      <c r="Q342" s="40">
        <f>VLOOKUP(D342,[1]apoio_Preços_MGS!$A$6:$AN$238,22,FALSE)</f>
        <v>0</v>
      </c>
      <c r="R342" s="40">
        <f>VLOOKUP(D342,[1]apoio_Preços_MGS!$A$6:$AN$238,23,FALSE)</f>
        <v>0</v>
      </c>
      <c r="S342" s="40">
        <f>VLOOKUP(D342,[1]apoio_Preços_MGS!$A$6:$AN$238,24,FALSE)</f>
        <v>0</v>
      </c>
      <c r="T342" s="40">
        <f>VLOOKUP(D342,[1]apoio_Preços_MGS!$A$6:$AN$238,25,FALSE)</f>
        <v>0</v>
      </c>
      <c r="U342" s="40">
        <f t="shared" si="171"/>
        <v>3021.8590567627489</v>
      </c>
      <c r="V342" s="41">
        <v>0.81799999999999995</v>
      </c>
      <c r="W342" s="40">
        <f t="shared" si="172"/>
        <v>2471.8807084319283</v>
      </c>
      <c r="X342" s="40">
        <f>VLOOKUP(D342,[1]apoio_Preços_MGS!$A$6:$AN$238,29,FALSE)</f>
        <v>31.89</v>
      </c>
      <c r="Y342" s="40">
        <f>VLOOKUP(D342,[1]apoio_Preços_MGS!$A$6:$AN$238,30,FALSE)</f>
        <v>58.869660014781957</v>
      </c>
      <c r="Z342" s="40">
        <f t="shared" si="116"/>
        <v>90.759660014781957</v>
      </c>
      <c r="AA342" s="40">
        <f>VLOOKUP(D342,[1]apoio_Preços_MGS!$A$6:$AN$238,32,FALSE)</f>
        <v>4.4630533761419056</v>
      </c>
      <c r="AB342" s="40">
        <f>VLOOKUP(D342,[1]apoio_Preços_MGS!$A$6:$AN$238,33,FALSE)</f>
        <v>245.6109711751663</v>
      </c>
      <c r="AC342" s="41">
        <f>VLOOKUP(D342,[1]apoio_Preços_MGS!$A$6:$AN$238,34,FALSE)</f>
        <v>0</v>
      </c>
      <c r="AD342" s="40">
        <f>(U342+W342+Z342+AB342+AA342+VLOOKUP(C342,[1]apoio_Prec_Folha!$A:$S,7,FALSE))*AC342</f>
        <v>0</v>
      </c>
      <c r="AE342" s="42">
        <f>VLOOKUP(D342,[1]apoio_Preços_MGS!$A$6:$AN$238,36,FALSE)</f>
        <v>7.0000000000000007E-2</v>
      </c>
      <c r="AF342" s="40">
        <f>(U342+W342+Z342+AB342+AD342+AA342+VLOOKUP(C342,[1]apoio_Prec_Folha!$A:$S,7,FALSE))*AE342</f>
        <v>447.03074148325379</v>
      </c>
      <c r="AG342" s="40">
        <f t="shared" si="117"/>
        <v>6281.6</v>
      </c>
      <c r="AH342" s="43">
        <f t="shared" si="118"/>
        <v>7077.85</v>
      </c>
      <c r="AI342" s="43">
        <f t="shared" si="119"/>
        <v>7077.85</v>
      </c>
      <c r="AJ342" s="43">
        <f t="shared" si="120"/>
        <v>368048.2</v>
      </c>
      <c r="AK342" s="44">
        <f>VLOOKUP(D342,[1]apoio_Preços_MGS!$A$6:$AN$238,39,FALSE)</f>
        <v>181.81818181818184</v>
      </c>
      <c r="AL342" s="44">
        <f>IF(J342="demais municípios",VLOOKUP(D342,[1]apoio_Preços_MGS!$A$6:$AN$238,39,FALSE),0)</f>
        <v>181.81818181818184</v>
      </c>
      <c r="AM342" s="44">
        <v>0</v>
      </c>
      <c r="AN342" s="45">
        <f t="shared" ref="AN342:AN343" si="194">AK342*K342</f>
        <v>181.81818181818184</v>
      </c>
      <c r="AO342" s="44">
        <f>VLOOKUP(D342,[1]apoio_Preços_MGS!$A$6:$AN$238,40,FALSE)</f>
        <v>551.58000000000004</v>
      </c>
      <c r="AP342" s="44">
        <f>IF(J342="demais municípios",VLOOKUP(D342,[1]apoio_Preços_MGS!$A$6:$AN$238,40,FALSE),0)</f>
        <v>551.58000000000004</v>
      </c>
      <c r="AQ342" s="44">
        <v>0</v>
      </c>
      <c r="AR342" s="45">
        <f t="shared" ref="AR342:AR343" si="195">AO342*K342</f>
        <v>551.58000000000004</v>
      </c>
      <c r="AS342" s="45">
        <f t="shared" si="188"/>
        <v>733.39818181818191</v>
      </c>
      <c r="AT342" s="45">
        <f t="shared" si="189"/>
        <v>44003.890909090915</v>
      </c>
      <c r="AU342" s="62"/>
      <c r="AV342" s="46"/>
      <c r="AW342" s="47"/>
      <c r="AX342" s="48"/>
      <c r="AY342" s="49"/>
      <c r="BA342" s="48"/>
    </row>
    <row r="343" spans="1:53" ht="19.5" customHeight="1" x14ac:dyDescent="0.25">
      <c r="A343" s="33" t="str">
        <f t="shared" si="184"/>
        <v>146234400,03</v>
      </c>
      <c r="B343" s="33" t="str">
        <f t="shared" si="185"/>
        <v>19000,03</v>
      </c>
      <c r="C343" s="34" t="str">
        <f>VLOOKUP(D343,[1]apoio_Preços_MGS!$A$6:$B$238,2,FALSE)</f>
        <v>JARDINEIRO</v>
      </c>
      <c r="D343" s="35">
        <v>1900</v>
      </c>
      <c r="E343" s="33" t="str">
        <f>VLOOKUP(D343,[1]apoio_Preços_MGS!$A$6:$F$238,6,FALSE)</f>
        <v>JARDINEIRO - (PERIC.) - DIARISTA DIURNO - 40H</v>
      </c>
      <c r="F343" s="36">
        <f>IFERROR(VLOOKUP(D343,'[1]apoio_cód catmas'!$B$2:$C$863,2,FALSE),0)</f>
        <v>146234</v>
      </c>
      <c r="G343" s="33" t="str">
        <f>IF(H343="N/A",VLOOKUP(F343&amp;40,'[1]apoio_cód catmas'!$A$1:$G$233,4,FALSE),VLOOKUP(F343&amp;H343,'[1]apoio_cód catmas'!$A$1:$G$233,4,FALSE))</f>
        <v>JARDINEIRO - (PERICULOSIDADE) - 40H OU 44H</v>
      </c>
      <c r="H343" s="36">
        <v>40</v>
      </c>
      <c r="I343" s="37">
        <v>0.03</v>
      </c>
      <c r="J343" s="38" t="s">
        <v>46</v>
      </c>
      <c r="K343" s="39">
        <v>1</v>
      </c>
      <c r="L343" s="39">
        <f t="shared" si="113"/>
        <v>60</v>
      </c>
      <c r="M343" s="40">
        <f>VLOOKUP(D343,[1]apoio_Preços_MGS!$A$6:$AN$238,18,FALSE)</f>
        <v>2324.506966740576</v>
      </c>
      <c r="N343" s="40">
        <f>VLOOKUP(D343,[1]apoio_Preços_MGS!$A$6:$AN$238,19,FALSE)</f>
        <v>697.35209002217277</v>
      </c>
      <c r="O343" s="40">
        <f>VLOOKUP(D343,[1]apoio_Preços_MGS!$A$6:$AN$238,20,FALSE)</f>
        <v>0</v>
      </c>
      <c r="P343" s="40">
        <f>VLOOKUP(D343,[1]apoio_Preços_MGS!$A$6:$AN$238,21,FALSE)</f>
        <v>0</v>
      </c>
      <c r="Q343" s="40">
        <f>VLOOKUP(D343,[1]apoio_Preços_MGS!$A$6:$AN$238,22,FALSE)</f>
        <v>0</v>
      </c>
      <c r="R343" s="40">
        <f>VLOOKUP(D343,[1]apoio_Preços_MGS!$A$6:$AN$238,23,FALSE)</f>
        <v>0</v>
      </c>
      <c r="S343" s="40">
        <f>VLOOKUP(D343,[1]apoio_Preços_MGS!$A$6:$AN$238,24,FALSE)</f>
        <v>0</v>
      </c>
      <c r="T343" s="40">
        <f>VLOOKUP(D343,[1]apoio_Preços_MGS!$A$6:$AN$238,25,FALSE)</f>
        <v>0</v>
      </c>
      <c r="U343" s="40">
        <f t="shared" si="171"/>
        <v>3021.8590567627489</v>
      </c>
      <c r="V343" s="41">
        <v>0.81799999999999995</v>
      </c>
      <c r="W343" s="40">
        <f t="shared" si="172"/>
        <v>2471.8807084319283</v>
      </c>
      <c r="X343" s="40">
        <f>VLOOKUP(D343,[1]apoio_Preços_MGS!$A$6:$AN$238,29,FALSE)</f>
        <v>31.89</v>
      </c>
      <c r="Y343" s="40">
        <f>VLOOKUP(D343,[1]apoio_Preços_MGS!$A$6:$AN$238,30,FALSE)</f>
        <v>58.869660014781957</v>
      </c>
      <c r="Z343" s="40">
        <f t="shared" si="116"/>
        <v>90.759660014781957</v>
      </c>
      <c r="AA343" s="40">
        <f>VLOOKUP(D343,[1]apoio_Preços_MGS!$A$6:$AN$238,32,FALSE)</f>
        <v>4.4630533761419056</v>
      </c>
      <c r="AB343" s="40">
        <f>VLOOKUP(D343,[1]apoio_Preços_MGS!$A$6:$AN$238,33,FALSE)</f>
        <v>245.6109711751663</v>
      </c>
      <c r="AC343" s="41">
        <f>VLOOKUP(D343,[1]apoio_Preços_MGS!$A$6:$AN$238,34,FALSE)</f>
        <v>0</v>
      </c>
      <c r="AD343" s="40">
        <f>(U343+W343+Z343+AB343+AA343+VLOOKUP(C343,[1]apoio_Prec_Folha!$A:$S,7,FALSE))*AC343</f>
        <v>0</v>
      </c>
      <c r="AE343" s="42">
        <f>VLOOKUP(D343,[1]apoio_Preços_MGS!$A$6:$AN$238,36,FALSE)</f>
        <v>7.0000000000000007E-2</v>
      </c>
      <c r="AF343" s="40">
        <f>(U343+W343+Z343+AB343+AD343+AA343+VLOOKUP(C343,[1]apoio_Prec_Folha!$A:$S,7,FALSE))*AE343</f>
        <v>447.03074148325379</v>
      </c>
      <c r="AG343" s="40">
        <f t="shared" si="117"/>
        <v>6281.6</v>
      </c>
      <c r="AH343" s="43">
        <f t="shared" si="118"/>
        <v>7158.51</v>
      </c>
      <c r="AI343" s="43">
        <f t="shared" si="119"/>
        <v>7158.51</v>
      </c>
      <c r="AJ343" s="43">
        <f t="shared" si="120"/>
        <v>429510.60000000003</v>
      </c>
      <c r="AK343" s="44">
        <f>VLOOKUP(D343,[1]apoio_Preços_MGS!$A$6:$AN$238,39,FALSE)</f>
        <v>181.81818181818184</v>
      </c>
      <c r="AL343" s="44">
        <f>IF(J343="demais municípios",VLOOKUP(D343,[1]apoio_Preços_MGS!$A$6:$AN$238,39,FALSE),0)</f>
        <v>181.81818181818184</v>
      </c>
      <c r="AM343" s="44">
        <v>0</v>
      </c>
      <c r="AN343" s="45">
        <f t="shared" si="194"/>
        <v>181.81818181818184</v>
      </c>
      <c r="AO343" s="44">
        <f>VLOOKUP(D343,[1]apoio_Preços_MGS!$A$6:$AN$238,40,FALSE)</f>
        <v>551.58000000000004</v>
      </c>
      <c r="AP343" s="44">
        <f>IF(J343="demais municípios",VLOOKUP(D343,[1]apoio_Preços_MGS!$A$6:$AN$238,40,FALSE),0)</f>
        <v>551.58000000000004</v>
      </c>
      <c r="AQ343" s="44">
        <v>0</v>
      </c>
      <c r="AR343" s="45">
        <f t="shared" si="195"/>
        <v>551.58000000000004</v>
      </c>
      <c r="AS343" s="45">
        <f t="shared" si="188"/>
        <v>733.39818181818191</v>
      </c>
      <c r="AT343" s="45">
        <f t="shared" si="189"/>
        <v>44003.890909090915</v>
      </c>
      <c r="AU343" s="62"/>
      <c r="AV343" s="46"/>
      <c r="AW343" s="47"/>
      <c r="AX343" s="48"/>
      <c r="AY343" s="49"/>
      <c r="BA343" s="48"/>
    </row>
    <row r="344" spans="1:53" ht="19.5" customHeight="1" x14ac:dyDescent="0.25">
      <c r="A344" s="33" t="str">
        <f t="shared" si="184"/>
        <v>146528400,05</v>
      </c>
      <c r="B344" s="33" t="str">
        <f t="shared" si="185"/>
        <v>19010,05</v>
      </c>
      <c r="C344" s="34" t="str">
        <f>VLOOKUP(D344,[1]apoio_Preços_MGS!$A$6:$B$238,2,FALSE)</f>
        <v>LABORATORISTA</v>
      </c>
      <c r="D344" s="35">
        <v>1901</v>
      </c>
      <c r="E344" s="33" t="str">
        <f>VLOOKUP(D344,[1]apoio_Preços_MGS!$A$6:$F$238,6,FALSE)</f>
        <v>LABORATORISTA - DIARISTA DIURNO - 40H</v>
      </c>
      <c r="F344" s="36">
        <f>IFERROR(VLOOKUP(D344,'[1]apoio_cód catmas'!$B$2:$C$863,2,FALSE),0)</f>
        <v>146528</v>
      </c>
      <c r="G344" s="33" t="str">
        <f>IF(H344="N/A",VLOOKUP(F344&amp;40,'[1]apoio_cód catmas'!$A$1:$G$233,4,FALSE),VLOOKUP(F344&amp;H344,'[1]apoio_cód catmas'!$A$1:$G$233,4,FALSE))</f>
        <v>LABORATORISTA - 40H ou 44H</v>
      </c>
      <c r="H344" s="36">
        <v>40</v>
      </c>
      <c r="I344" s="37">
        <v>0.05</v>
      </c>
      <c r="J344" s="38" t="s">
        <v>47</v>
      </c>
      <c r="K344" s="39">
        <v>10</v>
      </c>
      <c r="L344" s="39">
        <f t="shared" si="113"/>
        <v>600</v>
      </c>
      <c r="M344" s="40">
        <f>VLOOKUP(D344,[1]apoio_Preços_MGS!$A$6:$AN$238,18,FALSE)</f>
        <v>2551.19</v>
      </c>
      <c r="N344" s="40">
        <f>VLOOKUP(D344,[1]apoio_Preços_MGS!$A$6:$AN$238,19,FALSE)</f>
        <v>0</v>
      </c>
      <c r="O344" s="40">
        <f>VLOOKUP(D344,[1]apoio_Preços_MGS!$A$6:$AN$238,20,FALSE)</f>
        <v>0</v>
      </c>
      <c r="P344" s="40">
        <f>VLOOKUP(D344,[1]apoio_Preços_MGS!$A$6:$AN$238,21,FALSE)</f>
        <v>0</v>
      </c>
      <c r="Q344" s="40">
        <f>VLOOKUP(D344,[1]apoio_Preços_MGS!$A$6:$AN$238,22,FALSE)</f>
        <v>0</v>
      </c>
      <c r="R344" s="40">
        <f>VLOOKUP(D344,[1]apoio_Preços_MGS!$A$6:$AN$238,23,FALSE)</f>
        <v>0</v>
      </c>
      <c r="S344" s="40">
        <f>VLOOKUP(D344,[1]apoio_Preços_MGS!$A$6:$AN$238,24,FALSE)</f>
        <v>0</v>
      </c>
      <c r="T344" s="40">
        <f>VLOOKUP(D344,[1]apoio_Preços_MGS!$A$6:$AN$238,25,FALSE)</f>
        <v>0</v>
      </c>
      <c r="U344" s="40">
        <f t="shared" si="171"/>
        <v>2551.19</v>
      </c>
      <c r="V344" s="41">
        <v>0.81799999999999995</v>
      </c>
      <c r="W344" s="40">
        <f t="shared" si="172"/>
        <v>2086.8734199999999</v>
      </c>
      <c r="X344" s="40">
        <f>VLOOKUP(D344,[1]apoio_Preços_MGS!$A$6:$AN$238,29,FALSE)</f>
        <v>30.354545454545452</v>
      </c>
      <c r="Y344" s="40">
        <f>VLOOKUP(D344,[1]apoio_Preços_MGS!$A$6:$AN$238,30,FALSE)</f>
        <v>78.61</v>
      </c>
      <c r="Z344" s="40">
        <f t="shared" si="116"/>
        <v>108.96454545454546</v>
      </c>
      <c r="AA344" s="40">
        <f>VLOOKUP(D344,[1]apoio_Preços_MGS!$A$6:$AN$238,32,FALSE)</f>
        <v>4.8982847999999999</v>
      </c>
      <c r="AB344" s="40">
        <f>VLOOKUP(D344,[1]apoio_Preços_MGS!$A$6:$AN$238,33,FALSE)</f>
        <v>352.81727272727272</v>
      </c>
      <c r="AC344" s="41">
        <f>VLOOKUP(D344,[1]apoio_Preços_MGS!$A$6:$AN$238,34,FALSE)</f>
        <v>0</v>
      </c>
      <c r="AD344" s="40">
        <f>(U344+W344+Z344+AB344+AA344+VLOOKUP(C344,[1]apoio_Prec_Folha!$A:$S,7,FALSE))*AC344</f>
        <v>0</v>
      </c>
      <c r="AE344" s="42">
        <f>VLOOKUP(D344,[1]apoio_Preços_MGS!$A$6:$AN$238,36,FALSE)</f>
        <v>7.0000000000000007E-2</v>
      </c>
      <c r="AF344" s="40">
        <f>(U344+W344+Z344+AB344+AD344+AA344+VLOOKUP(C344,[1]apoio_Prec_Folha!$A:$S,7,FALSE))*AE344</f>
        <v>395.94264660872733</v>
      </c>
      <c r="AG344" s="40">
        <f t="shared" si="117"/>
        <v>5500.68</v>
      </c>
      <c r="AH344" s="43">
        <f t="shared" si="118"/>
        <v>6414.78</v>
      </c>
      <c r="AI344" s="43">
        <f t="shared" si="119"/>
        <v>64147.799999999996</v>
      </c>
      <c r="AJ344" s="43">
        <f t="shared" si="120"/>
        <v>3848868</v>
      </c>
      <c r="AK344" s="44">
        <f>VLOOKUP(D344,[1]apoio_Preços_MGS!$A$6:$AN$238,39,FALSE)</f>
        <v>181.81818181818184</v>
      </c>
      <c r="AL344" s="44">
        <f>IF(J344="demais municípios",VLOOKUP(D344,[1]apoio_Preços_MGS!$A$6:$AN$238,39,FALSE),0)</f>
        <v>0</v>
      </c>
      <c r="AM344" s="44">
        <f>TRUNC(ROUND(($I344)/(1-($I344)),5)*VLOOKUP(D344,[1]apoio_Preços_MGS!$A$6:$AN$238,39,FALSE)+VLOOKUP(D344,[1]apoio_Preços_MGS!$A$6:$AN$238,39,FALSE),2)</f>
        <v>191.38</v>
      </c>
      <c r="AN344" s="45">
        <f t="shared" si="186"/>
        <v>1913.8</v>
      </c>
      <c r="AO344" s="44">
        <f>VLOOKUP(D344,[1]apoio_Preços_MGS!$A$6:$AN$238,40,FALSE)</f>
        <v>551.58000000000004</v>
      </c>
      <c r="AP344" s="44">
        <f>IF(J344="demais municípios",VLOOKUP(D344,[1]apoio_Preços_MGS!$A$6:$AN$238,40,FALSE),0)</f>
        <v>0</v>
      </c>
      <c r="AQ344" s="44">
        <f>TRUNC(ROUND(($I344)/(1-($I344)),5)*VLOOKUP(D344,[1]apoio_Preços_MGS!$A$6:$AN$238,40,FALSE)+VLOOKUP(D344,[1]apoio_Preços_MGS!$A$6:$AN$238,40,FALSE),2)</f>
        <v>580.6</v>
      </c>
      <c r="AR344" s="45">
        <f t="shared" si="187"/>
        <v>5806</v>
      </c>
      <c r="AS344" s="45">
        <f t="shared" si="188"/>
        <v>7719.8</v>
      </c>
      <c r="AT344" s="45">
        <f t="shared" si="189"/>
        <v>463188</v>
      </c>
      <c r="AU344" s="62"/>
      <c r="AV344" s="46"/>
      <c r="AW344" s="47"/>
      <c r="AX344" s="48"/>
      <c r="AY344" s="49"/>
      <c r="BA344" s="48"/>
    </row>
    <row r="345" spans="1:53" ht="19.5" customHeight="1" x14ac:dyDescent="0.25">
      <c r="A345" s="33" t="str">
        <f t="shared" si="184"/>
        <v>106232400,02</v>
      </c>
      <c r="B345" s="33" t="str">
        <f t="shared" si="185"/>
        <v>2320,02</v>
      </c>
      <c r="C345" s="34" t="str">
        <f>VLOOKUP(D345,[1]apoio_Preços_MGS!$A$6:$B$238,2,FALSE)</f>
        <v>MANUTENÇÃO DE ÁREAS VERDES E VIVEIROS</v>
      </c>
      <c r="D345" s="35">
        <v>232</v>
      </c>
      <c r="E345" s="33" t="str">
        <f>VLOOKUP(D345,[1]apoio_Preços_MGS!$A$6:$F$238,6,FALSE)</f>
        <v>MANUTENÇÃO DE ÁREAS VERDES E VIVEIROS - DIARISTA DIURNO - 40H</v>
      </c>
      <c r="F345" s="36">
        <f>IFERROR(VLOOKUP(D345,'[1]apoio_cód catmas'!$B$2:$C$863,2,FALSE),0)</f>
        <v>106232</v>
      </c>
      <c r="G345" s="33" t="str">
        <f>IF(H345="N/A",VLOOKUP(F345&amp;40,'[1]apoio_cód catmas'!$A$1:$G$233,4,FALSE),VLOOKUP(F345&amp;H345,'[1]apoio_cód catmas'!$A$1:$G$233,4,FALSE))</f>
        <v>MANUTENCAO DE AREAS VERDES E VIVEIROS - 40H</v>
      </c>
      <c r="H345" s="36">
        <v>40</v>
      </c>
      <c r="I345" s="37">
        <v>0.02</v>
      </c>
      <c r="J345" s="38" t="s">
        <v>46</v>
      </c>
      <c r="K345" s="39">
        <v>18</v>
      </c>
      <c r="L345" s="39">
        <f t="shared" ref="L345:L430" si="196">K345*60</f>
        <v>1080</v>
      </c>
      <c r="M345" s="40">
        <f>VLOOKUP(D345,[1]apoio_Preços_MGS!$A$6:$AN$238,18,FALSE)</f>
        <v>1697.2426193826798</v>
      </c>
      <c r="N345" s="40">
        <f>VLOOKUP(D345,[1]apoio_Preços_MGS!$A$6:$AN$238,19,FALSE)</f>
        <v>0</v>
      </c>
      <c r="O345" s="40">
        <f>VLOOKUP(D345,[1]apoio_Preços_MGS!$A$6:$AN$238,20,FALSE)</f>
        <v>0</v>
      </c>
      <c r="P345" s="40">
        <f>VLOOKUP(D345,[1]apoio_Preços_MGS!$A$6:$AN$238,21,FALSE)</f>
        <v>0</v>
      </c>
      <c r="Q345" s="40">
        <f>VLOOKUP(D345,[1]apoio_Preços_MGS!$A$6:$AN$238,22,FALSE)</f>
        <v>0</v>
      </c>
      <c r="R345" s="40">
        <f>VLOOKUP(D345,[1]apoio_Preços_MGS!$A$6:$AN$238,23,FALSE)</f>
        <v>0</v>
      </c>
      <c r="S345" s="40">
        <f>VLOOKUP(D345,[1]apoio_Preços_MGS!$A$6:$AN$238,24,FALSE)</f>
        <v>0</v>
      </c>
      <c r="T345" s="40">
        <f>VLOOKUP(D345,[1]apoio_Preços_MGS!$A$6:$AN$238,25,FALSE)</f>
        <v>0</v>
      </c>
      <c r="U345" s="40">
        <f t="shared" si="171"/>
        <v>1697.2426193826798</v>
      </c>
      <c r="V345" s="41">
        <v>0.81799999999999995</v>
      </c>
      <c r="W345" s="40">
        <f t="shared" si="172"/>
        <v>1388.344462655032</v>
      </c>
      <c r="X345" s="40">
        <f>VLOOKUP(D345,[1]apoio_Preços_MGS!$A$6:$AN$238,29,FALSE)</f>
        <v>31.89</v>
      </c>
      <c r="Y345" s="40">
        <f>VLOOKUP(D345,[1]apoio_Preços_MGS!$A$6:$AN$238,30,FALSE)</f>
        <v>49.32233415233415</v>
      </c>
      <c r="Z345" s="40">
        <f t="shared" si="116"/>
        <v>81.212334152334151</v>
      </c>
      <c r="AA345" s="40">
        <f>VLOOKUP(D345,[1]apoio_Preços_MGS!$A$6:$AN$238,32,FALSE)</f>
        <v>3.2587058292147448</v>
      </c>
      <c r="AB345" s="40">
        <f>VLOOKUP(D345,[1]apoio_Preços_MGS!$A$6:$AN$238,33,FALSE)</f>
        <v>161.14670761670766</v>
      </c>
      <c r="AC345" s="41">
        <f>VLOOKUP(D345,[1]apoio_Preços_MGS!$A$6:$AN$238,34,FALSE)</f>
        <v>0</v>
      </c>
      <c r="AD345" s="40">
        <f>(U345+W345+Z345+AB345+AA345+VLOOKUP(C345,[1]apoio_Prec_Folha!$A:$S,7,FALSE))*AC345</f>
        <v>0</v>
      </c>
      <c r="AE345" s="42">
        <f>VLOOKUP(D345,[1]apoio_Preços_MGS!$A$6:$AN$238,36,FALSE)</f>
        <v>7.0000000000000007E-2</v>
      </c>
      <c r="AF345" s="40">
        <f>(U345+W345+Z345+AB345+AD345+AA345+VLOOKUP(C345,[1]apoio_Prec_Folha!$A:$S,7,FALSE))*AE345</f>
        <v>270.7760407772206</v>
      </c>
      <c r="AG345" s="40">
        <f t="shared" si="117"/>
        <v>3601.98</v>
      </c>
      <c r="AH345" s="43">
        <f t="shared" si="118"/>
        <v>4058.56</v>
      </c>
      <c r="AI345" s="43">
        <f t="shared" si="119"/>
        <v>73054.080000000002</v>
      </c>
      <c r="AJ345" s="43">
        <f t="shared" si="120"/>
        <v>4383244.8</v>
      </c>
      <c r="AK345" s="44">
        <f>VLOOKUP(D345,[1]apoio_Preços_MGS!$A$6:$AN$238,39,FALSE)</f>
        <v>181.81818181818184</v>
      </c>
      <c r="AL345" s="44">
        <f>IF(J345="demais municípios",VLOOKUP(D345,[1]apoio_Preços_MGS!$A$6:$AN$238,39,FALSE),0)</f>
        <v>181.81818181818184</v>
      </c>
      <c r="AM345" s="44">
        <v>0</v>
      </c>
      <c r="AN345" s="45">
        <f t="shared" ref="AN345:AN352" si="197">AK345*K345</f>
        <v>3272.727272727273</v>
      </c>
      <c r="AO345" s="44">
        <f>VLOOKUP(D345,[1]apoio_Preços_MGS!$A$6:$AN$238,40,FALSE)</f>
        <v>537.02</v>
      </c>
      <c r="AP345" s="44">
        <f>IF(J345="demais municípios",VLOOKUP(D345,[1]apoio_Preços_MGS!$A$6:$AN$238,40,FALSE),0)</f>
        <v>537.02</v>
      </c>
      <c r="AQ345" s="44">
        <v>0</v>
      </c>
      <c r="AR345" s="45">
        <f t="shared" ref="AR345:AR352" si="198">AO345*K345</f>
        <v>9666.36</v>
      </c>
      <c r="AS345" s="45">
        <f t="shared" si="188"/>
        <v>12939.087272727273</v>
      </c>
      <c r="AT345" s="45">
        <f t="shared" si="189"/>
        <v>776345.23636363633</v>
      </c>
      <c r="AU345" s="62"/>
      <c r="AV345" s="46"/>
      <c r="AW345" s="47"/>
      <c r="AX345" s="48"/>
      <c r="AY345" s="49"/>
      <c r="BA345" s="48"/>
    </row>
    <row r="346" spans="1:53" ht="19.5" customHeight="1" x14ac:dyDescent="0.25">
      <c r="A346" s="33" t="str">
        <f t="shared" si="184"/>
        <v>106232400,025</v>
      </c>
      <c r="B346" s="33" t="str">
        <f t="shared" si="185"/>
        <v>2320,025</v>
      </c>
      <c r="C346" s="34" t="str">
        <f>VLOOKUP(D346,[1]apoio_Preços_MGS!$A$6:$B$238,2,FALSE)</f>
        <v>MANUTENÇÃO DE ÁREAS VERDES E VIVEIROS</v>
      </c>
      <c r="D346" s="35">
        <v>232</v>
      </c>
      <c r="E346" s="33" t="str">
        <f>VLOOKUP(D346,[1]apoio_Preços_MGS!$A$6:$F$238,6,FALSE)</f>
        <v>MANUTENÇÃO DE ÁREAS VERDES E VIVEIROS - DIARISTA DIURNO - 40H</v>
      </c>
      <c r="F346" s="36">
        <f>IFERROR(VLOOKUP(D346,'[1]apoio_cód catmas'!$B$2:$C$863,2,FALSE),0)</f>
        <v>106232</v>
      </c>
      <c r="G346" s="33" t="str">
        <f>IF(H346="N/A",VLOOKUP(F346&amp;40,'[1]apoio_cód catmas'!$A$1:$G$233,4,FALSE),VLOOKUP(F346&amp;H346,'[1]apoio_cód catmas'!$A$1:$G$233,4,FALSE))</f>
        <v>MANUTENCAO DE AREAS VERDES E VIVEIROS - 40H</v>
      </c>
      <c r="H346" s="36">
        <v>40</v>
      </c>
      <c r="I346" s="37">
        <v>2.5000000000000001E-2</v>
      </c>
      <c r="J346" s="38" t="s">
        <v>46</v>
      </c>
      <c r="K346" s="39">
        <v>1</v>
      </c>
      <c r="L346" s="39">
        <f t="shared" si="196"/>
        <v>60</v>
      </c>
      <c r="M346" s="40">
        <f>VLOOKUP(D346,[1]apoio_Preços_MGS!$A$6:$AN$238,18,FALSE)</f>
        <v>1697.2426193826798</v>
      </c>
      <c r="N346" s="40">
        <f>VLOOKUP(D346,[1]apoio_Preços_MGS!$A$6:$AN$238,19,FALSE)</f>
        <v>0</v>
      </c>
      <c r="O346" s="40">
        <f>VLOOKUP(D346,[1]apoio_Preços_MGS!$A$6:$AN$238,20,FALSE)</f>
        <v>0</v>
      </c>
      <c r="P346" s="40">
        <f>VLOOKUP(D346,[1]apoio_Preços_MGS!$A$6:$AN$238,21,FALSE)</f>
        <v>0</v>
      </c>
      <c r="Q346" s="40">
        <f>VLOOKUP(D346,[1]apoio_Preços_MGS!$A$6:$AN$238,22,FALSE)</f>
        <v>0</v>
      </c>
      <c r="R346" s="40">
        <f>VLOOKUP(D346,[1]apoio_Preços_MGS!$A$6:$AN$238,23,FALSE)</f>
        <v>0</v>
      </c>
      <c r="S346" s="40">
        <f>VLOOKUP(D346,[1]apoio_Preços_MGS!$A$6:$AN$238,24,FALSE)</f>
        <v>0</v>
      </c>
      <c r="T346" s="40">
        <f>VLOOKUP(D346,[1]apoio_Preços_MGS!$A$6:$AN$238,25,FALSE)</f>
        <v>0</v>
      </c>
      <c r="U346" s="40">
        <f t="shared" si="171"/>
        <v>1697.2426193826798</v>
      </c>
      <c r="V346" s="41">
        <v>0.81799999999999995</v>
      </c>
      <c r="W346" s="40">
        <f t="shared" si="172"/>
        <v>1388.344462655032</v>
      </c>
      <c r="X346" s="40">
        <f>VLOOKUP(D346,[1]apoio_Preços_MGS!$A$6:$AN$238,29,FALSE)</f>
        <v>31.89</v>
      </c>
      <c r="Y346" s="40">
        <f>VLOOKUP(D346,[1]apoio_Preços_MGS!$A$6:$AN$238,30,FALSE)</f>
        <v>49.32233415233415</v>
      </c>
      <c r="Z346" s="40">
        <f t="shared" ref="Z346:Z431" si="199">Y346+X346</f>
        <v>81.212334152334151</v>
      </c>
      <c r="AA346" s="40">
        <f>VLOOKUP(D346,[1]apoio_Preços_MGS!$A$6:$AN$238,32,FALSE)</f>
        <v>3.2587058292147448</v>
      </c>
      <c r="AB346" s="40">
        <f>VLOOKUP(D346,[1]apoio_Preços_MGS!$A$6:$AN$238,33,FALSE)</f>
        <v>161.14670761670766</v>
      </c>
      <c r="AC346" s="41">
        <f>VLOOKUP(D346,[1]apoio_Preços_MGS!$A$6:$AN$238,34,FALSE)</f>
        <v>0</v>
      </c>
      <c r="AD346" s="40">
        <f>(U346+W346+Z346+AB346+AA346+VLOOKUP(C346,[1]apoio_Prec_Folha!$A:$S,7,FALSE))*AC346</f>
        <v>0</v>
      </c>
      <c r="AE346" s="42">
        <f>VLOOKUP(D346,[1]apoio_Preços_MGS!$A$6:$AN$238,36,FALSE)</f>
        <v>7.0000000000000007E-2</v>
      </c>
      <c r="AF346" s="40">
        <f>(U346+W346+Z346+AB346+AD346+AA346+VLOOKUP(C346,[1]apoio_Prec_Folha!$A:$S,7,FALSE))*AE346</f>
        <v>270.7760407772206</v>
      </c>
      <c r="AG346" s="40">
        <f t="shared" ref="AG346:AG431" si="200">TRUNC(U346+W346+Z346+AB346+AA346+AD346+AF346,2)</f>
        <v>3601.98</v>
      </c>
      <c r="AH346" s="43">
        <f t="shared" ref="AH346:AH431" si="201">TRUNC($AG346*ROUND((7.6%+1.65%+$I346)/(1-(7.6%+1.65%+$I346)),5)+$AG346,2)</f>
        <v>4081.54</v>
      </c>
      <c r="AI346" s="43">
        <f t="shared" ref="AI346:AI431" si="202">AH346*K346</f>
        <v>4081.54</v>
      </c>
      <c r="AJ346" s="43">
        <f t="shared" ref="AJ346:AJ431" si="203">AH346*L346</f>
        <v>244892.4</v>
      </c>
      <c r="AK346" s="44">
        <f>VLOOKUP(D346,[1]apoio_Preços_MGS!$A$6:$AN$238,39,FALSE)</f>
        <v>181.81818181818184</v>
      </c>
      <c r="AL346" s="44">
        <f>IF(J346="demais municípios",VLOOKUP(D346,[1]apoio_Preços_MGS!$A$6:$AN$238,39,FALSE),0)</f>
        <v>181.81818181818184</v>
      </c>
      <c r="AM346" s="44">
        <v>0</v>
      </c>
      <c r="AN346" s="45">
        <f t="shared" si="197"/>
        <v>181.81818181818184</v>
      </c>
      <c r="AO346" s="44">
        <f>VLOOKUP(D346,[1]apoio_Preços_MGS!$A$6:$AN$238,40,FALSE)</f>
        <v>537.02</v>
      </c>
      <c r="AP346" s="44">
        <f>IF(J346="demais municípios",VLOOKUP(D346,[1]apoio_Preços_MGS!$A$6:$AN$238,40,FALSE),0)</f>
        <v>537.02</v>
      </c>
      <c r="AQ346" s="44">
        <v>0</v>
      </c>
      <c r="AR346" s="45">
        <f t="shared" si="198"/>
        <v>537.02</v>
      </c>
      <c r="AS346" s="45">
        <f t="shared" si="188"/>
        <v>718.83818181818185</v>
      </c>
      <c r="AT346" s="45">
        <f t="shared" si="189"/>
        <v>43130.290909090909</v>
      </c>
      <c r="AU346" s="62"/>
      <c r="AV346" s="46"/>
      <c r="AW346" s="47"/>
      <c r="AX346" s="48"/>
      <c r="AY346" s="49"/>
      <c r="BA346" s="48"/>
    </row>
    <row r="347" spans="1:53" ht="19.5" customHeight="1" x14ac:dyDescent="0.25">
      <c r="A347" s="33" t="str">
        <f t="shared" si="184"/>
        <v>106232400,03</v>
      </c>
      <c r="B347" s="33" t="str">
        <f t="shared" si="185"/>
        <v>2320,03</v>
      </c>
      <c r="C347" s="34" t="str">
        <f>VLOOKUP(D347,[1]apoio_Preços_MGS!$A$6:$B$238,2,FALSE)</f>
        <v>MANUTENÇÃO DE ÁREAS VERDES E VIVEIROS</v>
      </c>
      <c r="D347" s="35">
        <v>232</v>
      </c>
      <c r="E347" s="33" t="str">
        <f>VLOOKUP(D347,[1]apoio_Preços_MGS!$A$6:$F$238,6,FALSE)</f>
        <v>MANUTENÇÃO DE ÁREAS VERDES E VIVEIROS - DIARISTA DIURNO - 40H</v>
      </c>
      <c r="F347" s="36">
        <f>IFERROR(VLOOKUP(D347,'[1]apoio_cód catmas'!$B$2:$C$863,2,FALSE),0)</f>
        <v>106232</v>
      </c>
      <c r="G347" s="33" t="str">
        <f>IF(H347="N/A",VLOOKUP(F347&amp;40,'[1]apoio_cód catmas'!$A$1:$G$233,4,FALSE),VLOOKUP(F347&amp;H347,'[1]apoio_cód catmas'!$A$1:$G$233,4,FALSE))</f>
        <v>MANUTENCAO DE AREAS VERDES E VIVEIROS - 40H</v>
      </c>
      <c r="H347" s="36">
        <v>40</v>
      </c>
      <c r="I347" s="37">
        <v>0.03</v>
      </c>
      <c r="J347" s="38" t="s">
        <v>46</v>
      </c>
      <c r="K347" s="39">
        <f>25-2</f>
        <v>23</v>
      </c>
      <c r="L347" s="39">
        <f t="shared" si="196"/>
        <v>1380</v>
      </c>
      <c r="M347" s="40">
        <f>VLOOKUP(D347,[1]apoio_Preços_MGS!$A$6:$AN$238,18,FALSE)</f>
        <v>1697.2426193826798</v>
      </c>
      <c r="N347" s="40">
        <f>VLOOKUP(D347,[1]apoio_Preços_MGS!$A$6:$AN$238,19,FALSE)</f>
        <v>0</v>
      </c>
      <c r="O347" s="40">
        <f>VLOOKUP(D347,[1]apoio_Preços_MGS!$A$6:$AN$238,20,FALSE)</f>
        <v>0</v>
      </c>
      <c r="P347" s="40">
        <f>VLOOKUP(D347,[1]apoio_Preços_MGS!$A$6:$AN$238,21,FALSE)</f>
        <v>0</v>
      </c>
      <c r="Q347" s="40">
        <f>VLOOKUP(D347,[1]apoio_Preços_MGS!$A$6:$AN$238,22,FALSE)</f>
        <v>0</v>
      </c>
      <c r="R347" s="40">
        <f>VLOOKUP(D347,[1]apoio_Preços_MGS!$A$6:$AN$238,23,FALSE)</f>
        <v>0</v>
      </c>
      <c r="S347" s="40">
        <f>VLOOKUP(D347,[1]apoio_Preços_MGS!$A$6:$AN$238,24,FALSE)</f>
        <v>0</v>
      </c>
      <c r="T347" s="40">
        <f>VLOOKUP(D347,[1]apoio_Preços_MGS!$A$6:$AN$238,25,FALSE)</f>
        <v>0</v>
      </c>
      <c r="U347" s="40">
        <f t="shared" si="171"/>
        <v>1697.2426193826798</v>
      </c>
      <c r="V347" s="41">
        <v>0.81799999999999995</v>
      </c>
      <c r="W347" s="40">
        <f t="shared" si="172"/>
        <v>1388.344462655032</v>
      </c>
      <c r="X347" s="40">
        <f>VLOOKUP(D347,[1]apoio_Preços_MGS!$A$6:$AN$238,29,FALSE)</f>
        <v>31.89</v>
      </c>
      <c r="Y347" s="40">
        <f>VLOOKUP(D347,[1]apoio_Preços_MGS!$A$6:$AN$238,30,FALSE)</f>
        <v>49.32233415233415</v>
      </c>
      <c r="Z347" s="40">
        <f t="shared" si="199"/>
        <v>81.212334152334151</v>
      </c>
      <c r="AA347" s="40">
        <f>VLOOKUP(D347,[1]apoio_Preços_MGS!$A$6:$AN$238,32,FALSE)</f>
        <v>3.2587058292147448</v>
      </c>
      <c r="AB347" s="40">
        <f>VLOOKUP(D347,[1]apoio_Preços_MGS!$A$6:$AN$238,33,FALSE)</f>
        <v>161.14670761670766</v>
      </c>
      <c r="AC347" s="41">
        <f>VLOOKUP(D347,[1]apoio_Preços_MGS!$A$6:$AN$238,34,FALSE)</f>
        <v>0</v>
      </c>
      <c r="AD347" s="40">
        <f>(U347+W347+Z347+AB347+AA347+VLOOKUP(C347,[1]apoio_Prec_Folha!$A:$S,7,FALSE))*AC347</f>
        <v>0</v>
      </c>
      <c r="AE347" s="42">
        <f>VLOOKUP(D347,[1]apoio_Preços_MGS!$A$6:$AN$238,36,FALSE)</f>
        <v>7.0000000000000007E-2</v>
      </c>
      <c r="AF347" s="40">
        <f>(U347+W347+Z347+AB347+AD347+AA347+VLOOKUP(C347,[1]apoio_Prec_Folha!$A:$S,7,FALSE))*AE347</f>
        <v>270.7760407772206</v>
      </c>
      <c r="AG347" s="40">
        <f t="shared" si="200"/>
        <v>3601.98</v>
      </c>
      <c r="AH347" s="43">
        <f t="shared" si="201"/>
        <v>4104.8100000000004</v>
      </c>
      <c r="AI347" s="43">
        <f t="shared" si="202"/>
        <v>94410.63</v>
      </c>
      <c r="AJ347" s="43">
        <f t="shared" si="203"/>
        <v>5664637.8000000007</v>
      </c>
      <c r="AK347" s="44">
        <f>VLOOKUP(D347,[1]apoio_Preços_MGS!$A$6:$AN$238,39,FALSE)</f>
        <v>181.81818181818184</v>
      </c>
      <c r="AL347" s="44">
        <f>IF(J347="demais municípios",VLOOKUP(D347,[1]apoio_Preços_MGS!$A$6:$AN$238,39,FALSE),0)</f>
        <v>181.81818181818184</v>
      </c>
      <c r="AM347" s="44">
        <v>0</v>
      </c>
      <c r="AN347" s="45">
        <f t="shared" si="197"/>
        <v>4181.818181818182</v>
      </c>
      <c r="AO347" s="44">
        <f>VLOOKUP(D347,[1]apoio_Preços_MGS!$A$6:$AN$238,40,FALSE)</f>
        <v>537.02</v>
      </c>
      <c r="AP347" s="44">
        <f>IF(J347="demais municípios",VLOOKUP(D347,[1]apoio_Preços_MGS!$A$6:$AN$238,40,FALSE),0)</f>
        <v>537.02</v>
      </c>
      <c r="AQ347" s="44">
        <v>0</v>
      </c>
      <c r="AR347" s="45">
        <f t="shared" si="198"/>
        <v>12351.46</v>
      </c>
      <c r="AS347" s="45">
        <f t="shared" si="188"/>
        <v>16533.278181818183</v>
      </c>
      <c r="AT347" s="45">
        <f t="shared" si="189"/>
        <v>991996.69090909092</v>
      </c>
      <c r="AU347" s="62"/>
      <c r="AV347" s="46"/>
      <c r="AW347" s="47"/>
      <c r="AX347" s="48"/>
      <c r="AY347" s="49"/>
      <c r="BA347" s="48"/>
    </row>
    <row r="348" spans="1:53" ht="19.5" customHeight="1" x14ac:dyDescent="0.25">
      <c r="A348" s="33" t="str">
        <f t="shared" si="184"/>
        <v>106232400,035</v>
      </c>
      <c r="B348" s="33" t="str">
        <f t="shared" si="185"/>
        <v>2320,035</v>
      </c>
      <c r="C348" s="34" t="str">
        <f>VLOOKUP(D348,[1]apoio_Preços_MGS!$A$6:$B$238,2,FALSE)</f>
        <v>MANUTENÇÃO DE ÁREAS VERDES E VIVEIROS</v>
      </c>
      <c r="D348" s="35">
        <v>232</v>
      </c>
      <c r="E348" s="33" t="str">
        <f>VLOOKUP(D348,[1]apoio_Preços_MGS!$A$6:$F$238,6,FALSE)</f>
        <v>MANUTENÇÃO DE ÁREAS VERDES E VIVEIROS - DIARISTA DIURNO - 40H</v>
      </c>
      <c r="F348" s="36">
        <f>IFERROR(VLOOKUP(D348,'[1]apoio_cód catmas'!$B$2:$C$863,2,FALSE),0)</f>
        <v>106232</v>
      </c>
      <c r="G348" s="33" t="str">
        <f>IF(H348="N/A",VLOOKUP(F348&amp;40,'[1]apoio_cód catmas'!$A$1:$G$233,4,FALSE),VLOOKUP(F348&amp;H348,'[1]apoio_cód catmas'!$A$1:$G$233,4,FALSE))</f>
        <v>MANUTENCAO DE AREAS VERDES E VIVEIROS - 40H</v>
      </c>
      <c r="H348" s="36">
        <v>40</v>
      </c>
      <c r="I348" s="37">
        <v>3.5000000000000003E-2</v>
      </c>
      <c r="J348" s="38" t="s">
        <v>46</v>
      </c>
      <c r="K348" s="39">
        <v>13</v>
      </c>
      <c r="L348" s="39">
        <f t="shared" si="196"/>
        <v>780</v>
      </c>
      <c r="M348" s="40">
        <f>VLOOKUP(D348,[1]apoio_Preços_MGS!$A$6:$AN$238,18,FALSE)</f>
        <v>1697.2426193826798</v>
      </c>
      <c r="N348" s="40">
        <f>VLOOKUP(D348,[1]apoio_Preços_MGS!$A$6:$AN$238,19,FALSE)</f>
        <v>0</v>
      </c>
      <c r="O348" s="40">
        <f>VLOOKUP(D348,[1]apoio_Preços_MGS!$A$6:$AN$238,20,FALSE)</f>
        <v>0</v>
      </c>
      <c r="P348" s="40">
        <f>VLOOKUP(D348,[1]apoio_Preços_MGS!$A$6:$AN$238,21,FALSE)</f>
        <v>0</v>
      </c>
      <c r="Q348" s="40">
        <f>VLOOKUP(D348,[1]apoio_Preços_MGS!$A$6:$AN$238,22,FALSE)</f>
        <v>0</v>
      </c>
      <c r="R348" s="40">
        <f>VLOOKUP(D348,[1]apoio_Preços_MGS!$A$6:$AN$238,23,FALSE)</f>
        <v>0</v>
      </c>
      <c r="S348" s="40">
        <f>VLOOKUP(D348,[1]apoio_Preços_MGS!$A$6:$AN$238,24,FALSE)</f>
        <v>0</v>
      </c>
      <c r="T348" s="40">
        <f>VLOOKUP(D348,[1]apoio_Preços_MGS!$A$6:$AN$238,25,FALSE)</f>
        <v>0</v>
      </c>
      <c r="U348" s="40">
        <f t="shared" si="171"/>
        <v>1697.2426193826798</v>
      </c>
      <c r="V348" s="41">
        <v>0.81799999999999995</v>
      </c>
      <c r="W348" s="40">
        <f t="shared" si="172"/>
        <v>1388.344462655032</v>
      </c>
      <c r="X348" s="40">
        <f>VLOOKUP(D348,[1]apoio_Preços_MGS!$A$6:$AN$238,29,FALSE)</f>
        <v>31.89</v>
      </c>
      <c r="Y348" s="40">
        <f>VLOOKUP(D348,[1]apoio_Preços_MGS!$A$6:$AN$238,30,FALSE)</f>
        <v>49.32233415233415</v>
      </c>
      <c r="Z348" s="40">
        <f t="shared" si="199"/>
        <v>81.212334152334151</v>
      </c>
      <c r="AA348" s="40">
        <f>VLOOKUP(D348,[1]apoio_Preços_MGS!$A$6:$AN$238,32,FALSE)</f>
        <v>3.2587058292147448</v>
      </c>
      <c r="AB348" s="40">
        <f>VLOOKUP(D348,[1]apoio_Preços_MGS!$A$6:$AN$238,33,FALSE)</f>
        <v>161.14670761670766</v>
      </c>
      <c r="AC348" s="41">
        <f>VLOOKUP(D348,[1]apoio_Preços_MGS!$A$6:$AN$238,34,FALSE)</f>
        <v>0</v>
      </c>
      <c r="AD348" s="40">
        <f>(U348+W348+Z348+AB348+AA348+VLOOKUP(C348,[1]apoio_Prec_Folha!$A:$S,7,FALSE))*AC348</f>
        <v>0</v>
      </c>
      <c r="AE348" s="42">
        <f>VLOOKUP(D348,[1]apoio_Preços_MGS!$A$6:$AN$238,36,FALSE)</f>
        <v>7.0000000000000007E-2</v>
      </c>
      <c r="AF348" s="40">
        <f>(U348+W348+Z348+AB348+AD348+AA348+VLOOKUP(C348,[1]apoio_Prec_Folha!$A:$S,7,FALSE))*AE348</f>
        <v>270.7760407772206</v>
      </c>
      <c r="AG348" s="40">
        <f t="shared" si="200"/>
        <v>3601.98</v>
      </c>
      <c r="AH348" s="43">
        <f t="shared" si="201"/>
        <v>4128.33</v>
      </c>
      <c r="AI348" s="43">
        <f t="shared" si="202"/>
        <v>53668.29</v>
      </c>
      <c r="AJ348" s="43">
        <f t="shared" si="203"/>
        <v>3220097.4</v>
      </c>
      <c r="AK348" s="44">
        <f>VLOOKUP(D348,[1]apoio_Preços_MGS!$A$6:$AN$238,39,FALSE)</f>
        <v>181.81818181818184</v>
      </c>
      <c r="AL348" s="44">
        <f>IF(J348="demais municípios",VLOOKUP(D348,[1]apoio_Preços_MGS!$A$6:$AN$238,39,FALSE),0)</f>
        <v>181.81818181818184</v>
      </c>
      <c r="AM348" s="44">
        <v>0</v>
      </c>
      <c r="AN348" s="45">
        <f t="shared" si="197"/>
        <v>2363.636363636364</v>
      </c>
      <c r="AO348" s="44">
        <f>VLOOKUP(D348,[1]apoio_Preços_MGS!$A$6:$AN$238,40,FALSE)</f>
        <v>537.02</v>
      </c>
      <c r="AP348" s="44">
        <f>IF(J348="demais municípios",VLOOKUP(D348,[1]apoio_Preços_MGS!$A$6:$AN$238,40,FALSE),0)</f>
        <v>537.02</v>
      </c>
      <c r="AQ348" s="44">
        <v>0</v>
      </c>
      <c r="AR348" s="45">
        <f t="shared" si="198"/>
        <v>6981.26</v>
      </c>
      <c r="AS348" s="45">
        <f t="shared" si="188"/>
        <v>9344.8963636363642</v>
      </c>
      <c r="AT348" s="45">
        <f t="shared" si="189"/>
        <v>560693.78181818186</v>
      </c>
      <c r="AU348" s="62"/>
      <c r="AV348" s="46"/>
      <c r="AW348" s="47"/>
      <c r="AX348" s="48"/>
      <c r="AY348" s="49"/>
      <c r="BA348" s="48"/>
    </row>
    <row r="349" spans="1:53" ht="19.5" customHeight="1" x14ac:dyDescent="0.25">
      <c r="A349" s="33" t="str">
        <f t="shared" si="184"/>
        <v>106232400,038</v>
      </c>
      <c r="B349" s="33" t="str">
        <f t="shared" si="185"/>
        <v>2320,038</v>
      </c>
      <c r="C349" s="34" t="str">
        <f>VLOOKUP(D349,[1]apoio_Preços_MGS!$A$6:$B$238,2,FALSE)</f>
        <v>MANUTENÇÃO DE ÁREAS VERDES E VIVEIROS</v>
      </c>
      <c r="D349" s="35">
        <v>232</v>
      </c>
      <c r="E349" s="33" t="str">
        <f>VLOOKUP(D349,[1]apoio_Preços_MGS!$A$6:$F$238,6,FALSE)</f>
        <v>MANUTENÇÃO DE ÁREAS VERDES E VIVEIROS - DIARISTA DIURNO - 40H</v>
      </c>
      <c r="F349" s="36">
        <f>IFERROR(VLOOKUP(D349,'[1]apoio_cód catmas'!$B$2:$C$863,2,FALSE),0)</f>
        <v>106232</v>
      </c>
      <c r="G349" s="33" t="str">
        <f>IF(H349="N/A",VLOOKUP(F349&amp;40,'[1]apoio_cód catmas'!$A$1:$G$233,4,FALSE),VLOOKUP(F349&amp;H349,'[1]apoio_cód catmas'!$A$1:$G$233,4,FALSE))</f>
        <v>MANUTENCAO DE AREAS VERDES E VIVEIROS - 40H</v>
      </c>
      <c r="H349" s="36">
        <v>40</v>
      </c>
      <c r="I349" s="37">
        <v>3.7999999999999999E-2</v>
      </c>
      <c r="J349" s="38" t="s">
        <v>46</v>
      </c>
      <c r="K349" s="39">
        <v>7</v>
      </c>
      <c r="L349" s="39">
        <f t="shared" si="196"/>
        <v>420</v>
      </c>
      <c r="M349" s="40">
        <f>VLOOKUP(D349,[1]apoio_Preços_MGS!$A$6:$AN$238,18,FALSE)</f>
        <v>1697.2426193826798</v>
      </c>
      <c r="N349" s="40">
        <f>VLOOKUP(D349,[1]apoio_Preços_MGS!$A$6:$AN$238,19,FALSE)</f>
        <v>0</v>
      </c>
      <c r="O349" s="40">
        <f>VLOOKUP(D349,[1]apoio_Preços_MGS!$A$6:$AN$238,20,FALSE)</f>
        <v>0</v>
      </c>
      <c r="P349" s="40">
        <f>VLOOKUP(D349,[1]apoio_Preços_MGS!$A$6:$AN$238,21,FALSE)</f>
        <v>0</v>
      </c>
      <c r="Q349" s="40">
        <f>VLOOKUP(D349,[1]apoio_Preços_MGS!$A$6:$AN$238,22,FALSE)</f>
        <v>0</v>
      </c>
      <c r="R349" s="40">
        <f>VLOOKUP(D349,[1]apoio_Preços_MGS!$A$6:$AN$238,23,FALSE)</f>
        <v>0</v>
      </c>
      <c r="S349" s="40">
        <f>VLOOKUP(D349,[1]apoio_Preços_MGS!$A$6:$AN$238,24,FALSE)</f>
        <v>0</v>
      </c>
      <c r="T349" s="40">
        <f>VLOOKUP(D349,[1]apoio_Preços_MGS!$A$6:$AN$238,25,FALSE)</f>
        <v>0</v>
      </c>
      <c r="U349" s="40">
        <f t="shared" si="171"/>
        <v>1697.2426193826798</v>
      </c>
      <c r="V349" s="41">
        <v>0.81799999999999995</v>
      </c>
      <c r="W349" s="40">
        <f t="shared" si="172"/>
        <v>1388.344462655032</v>
      </c>
      <c r="X349" s="40">
        <f>VLOOKUP(D349,[1]apoio_Preços_MGS!$A$6:$AN$238,29,FALSE)</f>
        <v>31.89</v>
      </c>
      <c r="Y349" s="40">
        <f>VLOOKUP(D349,[1]apoio_Preços_MGS!$A$6:$AN$238,30,FALSE)</f>
        <v>49.32233415233415</v>
      </c>
      <c r="Z349" s="40">
        <f t="shared" si="199"/>
        <v>81.212334152334151</v>
      </c>
      <c r="AA349" s="40">
        <f>VLOOKUP(D349,[1]apoio_Preços_MGS!$A$6:$AN$238,32,FALSE)</f>
        <v>3.2587058292147448</v>
      </c>
      <c r="AB349" s="40">
        <f>VLOOKUP(D349,[1]apoio_Preços_MGS!$A$6:$AN$238,33,FALSE)</f>
        <v>161.14670761670766</v>
      </c>
      <c r="AC349" s="41">
        <f>VLOOKUP(D349,[1]apoio_Preços_MGS!$A$6:$AN$238,34,FALSE)</f>
        <v>0</v>
      </c>
      <c r="AD349" s="40">
        <f>(U349+W349+Z349+AB349+AA349+VLOOKUP(C349,[1]apoio_Prec_Folha!$A:$S,7,FALSE))*AC349</f>
        <v>0</v>
      </c>
      <c r="AE349" s="42">
        <f>VLOOKUP(D349,[1]apoio_Preços_MGS!$A$6:$AN$238,36,FALSE)</f>
        <v>7.0000000000000007E-2</v>
      </c>
      <c r="AF349" s="40">
        <f>(U349+W349+Z349+AB349+AD349+AA349+VLOOKUP(C349,[1]apoio_Prec_Folha!$A:$S,7,FALSE))*AE349</f>
        <v>270.7760407772206</v>
      </c>
      <c r="AG349" s="40">
        <f t="shared" si="200"/>
        <v>3601.98</v>
      </c>
      <c r="AH349" s="43">
        <f t="shared" si="201"/>
        <v>4142.6000000000004</v>
      </c>
      <c r="AI349" s="43">
        <f t="shared" si="202"/>
        <v>28998.200000000004</v>
      </c>
      <c r="AJ349" s="43">
        <f t="shared" si="203"/>
        <v>1739892.0000000002</v>
      </c>
      <c r="AK349" s="44">
        <f>VLOOKUP(D349,[1]apoio_Preços_MGS!$A$6:$AN$238,39,FALSE)</f>
        <v>181.81818181818184</v>
      </c>
      <c r="AL349" s="44">
        <f>IF(J349="demais municípios",VLOOKUP(D349,[1]apoio_Preços_MGS!$A$6:$AN$238,39,FALSE),0)</f>
        <v>181.81818181818184</v>
      </c>
      <c r="AM349" s="44">
        <v>0</v>
      </c>
      <c r="AN349" s="45">
        <f t="shared" si="197"/>
        <v>1272.727272727273</v>
      </c>
      <c r="AO349" s="44">
        <f>VLOOKUP(D349,[1]apoio_Preços_MGS!$A$6:$AN$238,40,FALSE)</f>
        <v>537.02</v>
      </c>
      <c r="AP349" s="44">
        <f>IF(J349="demais municípios",VLOOKUP(D349,[1]apoio_Preços_MGS!$A$6:$AN$238,40,FALSE),0)</f>
        <v>537.02</v>
      </c>
      <c r="AQ349" s="44">
        <v>0</v>
      </c>
      <c r="AR349" s="45">
        <f t="shared" si="198"/>
        <v>3759.14</v>
      </c>
      <c r="AS349" s="45">
        <f t="shared" si="188"/>
        <v>5031.8672727272733</v>
      </c>
      <c r="AT349" s="45">
        <f t="shared" si="189"/>
        <v>301912.03636363638</v>
      </c>
      <c r="AU349" s="62"/>
      <c r="AV349" s="46"/>
      <c r="AW349" s="47"/>
      <c r="AX349" s="48"/>
      <c r="AY349" s="49"/>
      <c r="BA349" s="48"/>
    </row>
    <row r="350" spans="1:53" ht="19.5" customHeight="1" x14ac:dyDescent="0.25">
      <c r="A350" s="33" t="str">
        <f t="shared" si="184"/>
        <v>106232400,04</v>
      </c>
      <c r="B350" s="33" t="str">
        <f t="shared" si="185"/>
        <v>2320,04</v>
      </c>
      <c r="C350" s="34" t="str">
        <f>VLOOKUP(D350,[1]apoio_Preços_MGS!$A$6:$B$238,2,FALSE)</f>
        <v>MANUTENÇÃO DE ÁREAS VERDES E VIVEIROS</v>
      </c>
      <c r="D350" s="35">
        <v>232</v>
      </c>
      <c r="E350" s="33" t="str">
        <f>VLOOKUP(D350,[1]apoio_Preços_MGS!$A$6:$F$238,6,FALSE)</f>
        <v>MANUTENÇÃO DE ÁREAS VERDES E VIVEIROS - DIARISTA DIURNO - 40H</v>
      </c>
      <c r="F350" s="36">
        <f>IFERROR(VLOOKUP(D350,'[1]apoio_cód catmas'!$B$2:$C$863,2,FALSE),0)</f>
        <v>106232</v>
      </c>
      <c r="G350" s="33" t="str">
        <f>IF(H350="N/A",VLOOKUP(F350&amp;40,'[1]apoio_cód catmas'!$A$1:$G$233,4,FALSE),VLOOKUP(F350&amp;H350,'[1]apoio_cód catmas'!$A$1:$G$233,4,FALSE))</f>
        <v>MANUTENCAO DE AREAS VERDES E VIVEIROS - 40H</v>
      </c>
      <c r="H350" s="36">
        <v>40</v>
      </c>
      <c r="I350" s="37">
        <v>0.04</v>
      </c>
      <c r="J350" s="38" t="s">
        <v>46</v>
      </c>
      <c r="K350" s="39">
        <v>14</v>
      </c>
      <c r="L350" s="39">
        <f t="shared" si="196"/>
        <v>840</v>
      </c>
      <c r="M350" s="40">
        <f>VLOOKUP(D350,[1]apoio_Preços_MGS!$A$6:$AN$238,18,FALSE)</f>
        <v>1697.2426193826798</v>
      </c>
      <c r="N350" s="40">
        <f>VLOOKUP(D350,[1]apoio_Preços_MGS!$A$6:$AN$238,19,FALSE)</f>
        <v>0</v>
      </c>
      <c r="O350" s="40">
        <f>VLOOKUP(D350,[1]apoio_Preços_MGS!$A$6:$AN$238,20,FALSE)</f>
        <v>0</v>
      </c>
      <c r="P350" s="40">
        <f>VLOOKUP(D350,[1]apoio_Preços_MGS!$A$6:$AN$238,21,FALSE)</f>
        <v>0</v>
      </c>
      <c r="Q350" s="40">
        <f>VLOOKUP(D350,[1]apoio_Preços_MGS!$A$6:$AN$238,22,FALSE)</f>
        <v>0</v>
      </c>
      <c r="R350" s="40">
        <f>VLOOKUP(D350,[1]apoio_Preços_MGS!$A$6:$AN$238,23,FALSE)</f>
        <v>0</v>
      </c>
      <c r="S350" s="40">
        <f>VLOOKUP(D350,[1]apoio_Preços_MGS!$A$6:$AN$238,24,FALSE)</f>
        <v>0</v>
      </c>
      <c r="T350" s="40">
        <f>VLOOKUP(D350,[1]apoio_Preços_MGS!$A$6:$AN$238,25,FALSE)</f>
        <v>0</v>
      </c>
      <c r="U350" s="40">
        <f t="shared" si="171"/>
        <v>1697.2426193826798</v>
      </c>
      <c r="V350" s="41">
        <v>0.81799999999999995</v>
      </c>
      <c r="W350" s="40">
        <f t="shared" si="172"/>
        <v>1388.344462655032</v>
      </c>
      <c r="X350" s="40">
        <f>VLOOKUP(D350,[1]apoio_Preços_MGS!$A$6:$AN$238,29,FALSE)</f>
        <v>31.89</v>
      </c>
      <c r="Y350" s="40">
        <f>VLOOKUP(D350,[1]apoio_Preços_MGS!$A$6:$AN$238,30,FALSE)</f>
        <v>49.32233415233415</v>
      </c>
      <c r="Z350" s="40">
        <f t="shared" si="199"/>
        <v>81.212334152334151</v>
      </c>
      <c r="AA350" s="40">
        <f>VLOOKUP(D350,[1]apoio_Preços_MGS!$A$6:$AN$238,32,FALSE)</f>
        <v>3.2587058292147448</v>
      </c>
      <c r="AB350" s="40">
        <f>VLOOKUP(D350,[1]apoio_Preços_MGS!$A$6:$AN$238,33,FALSE)</f>
        <v>161.14670761670766</v>
      </c>
      <c r="AC350" s="41">
        <f>VLOOKUP(D350,[1]apoio_Preços_MGS!$A$6:$AN$238,34,FALSE)</f>
        <v>0</v>
      </c>
      <c r="AD350" s="40">
        <f>(U350+W350+Z350+AB350+AA350+VLOOKUP(C350,[1]apoio_Prec_Folha!$A:$S,7,FALSE))*AC350</f>
        <v>0</v>
      </c>
      <c r="AE350" s="42">
        <f>VLOOKUP(D350,[1]apoio_Preços_MGS!$A$6:$AN$238,36,FALSE)</f>
        <v>7.0000000000000007E-2</v>
      </c>
      <c r="AF350" s="40">
        <f>(U350+W350+Z350+AB350+AD350+AA350+VLOOKUP(C350,[1]apoio_Prec_Folha!$A:$S,7,FALSE))*AE350</f>
        <v>270.7760407772206</v>
      </c>
      <c r="AG350" s="40">
        <f t="shared" si="200"/>
        <v>3601.98</v>
      </c>
      <c r="AH350" s="43">
        <f t="shared" si="201"/>
        <v>4152.1400000000003</v>
      </c>
      <c r="AI350" s="43">
        <f t="shared" si="202"/>
        <v>58129.960000000006</v>
      </c>
      <c r="AJ350" s="43">
        <f t="shared" si="203"/>
        <v>3487797.6</v>
      </c>
      <c r="AK350" s="44">
        <f>VLOOKUP(D350,[1]apoio_Preços_MGS!$A$6:$AN$238,39,FALSE)</f>
        <v>181.81818181818184</v>
      </c>
      <c r="AL350" s="44">
        <f>IF(J350="demais municípios",VLOOKUP(D350,[1]apoio_Preços_MGS!$A$6:$AN$238,39,FALSE),0)</f>
        <v>181.81818181818184</v>
      </c>
      <c r="AM350" s="44">
        <v>0</v>
      </c>
      <c r="AN350" s="45">
        <f t="shared" si="197"/>
        <v>2545.454545454546</v>
      </c>
      <c r="AO350" s="44">
        <f>VLOOKUP(D350,[1]apoio_Preços_MGS!$A$6:$AN$238,40,FALSE)</f>
        <v>537.02</v>
      </c>
      <c r="AP350" s="44">
        <f>IF(J350="demais municípios",VLOOKUP(D350,[1]apoio_Preços_MGS!$A$6:$AN$238,40,FALSE),0)</f>
        <v>537.02</v>
      </c>
      <c r="AQ350" s="44">
        <v>0</v>
      </c>
      <c r="AR350" s="45">
        <f t="shared" si="198"/>
        <v>7518.28</v>
      </c>
      <c r="AS350" s="45">
        <f t="shared" si="188"/>
        <v>10063.734545454547</v>
      </c>
      <c r="AT350" s="45">
        <f t="shared" si="189"/>
        <v>603824.07272727275</v>
      </c>
      <c r="AU350" s="62"/>
      <c r="AV350" s="46"/>
      <c r="AW350" s="47"/>
      <c r="AX350" s="48"/>
      <c r="AY350" s="49"/>
      <c r="BA350" s="48"/>
    </row>
    <row r="351" spans="1:53" ht="19.5" customHeight="1" x14ac:dyDescent="0.25">
      <c r="A351" s="33" t="str">
        <f t="shared" si="184"/>
        <v>106232400,05</v>
      </c>
      <c r="B351" s="33" t="str">
        <f t="shared" si="185"/>
        <v>2320,05</v>
      </c>
      <c r="C351" s="34" t="str">
        <f>VLOOKUP(D351,[1]apoio_Preços_MGS!$A$6:$B$238,2,FALSE)</f>
        <v>MANUTENÇÃO DE ÁREAS VERDES E VIVEIROS</v>
      </c>
      <c r="D351" s="35">
        <v>232</v>
      </c>
      <c r="E351" s="33" t="str">
        <f>VLOOKUP(D351,[1]apoio_Preços_MGS!$A$6:$F$238,6,FALSE)</f>
        <v>MANUTENÇÃO DE ÁREAS VERDES E VIVEIROS - DIARISTA DIURNO - 40H</v>
      </c>
      <c r="F351" s="36">
        <f>IFERROR(VLOOKUP(D351,'[1]apoio_cód catmas'!$B$2:$C$863,2,FALSE),0)</f>
        <v>106232</v>
      </c>
      <c r="G351" s="33" t="str">
        <f>IF(H351="N/A",VLOOKUP(F351&amp;40,'[1]apoio_cód catmas'!$A$1:$G$233,4,FALSE),VLOOKUP(F351&amp;H351,'[1]apoio_cód catmas'!$A$1:$G$233,4,FALSE))</f>
        <v>MANUTENCAO DE AREAS VERDES E VIVEIROS - 40H</v>
      </c>
      <c r="H351" s="36">
        <v>40</v>
      </c>
      <c r="I351" s="37">
        <v>0.05</v>
      </c>
      <c r="J351" s="38" t="s">
        <v>46</v>
      </c>
      <c r="K351" s="39">
        <v>2</v>
      </c>
      <c r="L351" s="39">
        <f>K351*56</f>
        <v>112</v>
      </c>
      <c r="M351" s="40">
        <f>VLOOKUP(D351,[1]apoio_Preços_MGS!$A$6:$AN$238,18,FALSE)</f>
        <v>1697.2426193826798</v>
      </c>
      <c r="N351" s="40">
        <f>VLOOKUP(D351,[1]apoio_Preços_MGS!$A$6:$AN$238,19,FALSE)</f>
        <v>0</v>
      </c>
      <c r="O351" s="40">
        <f>VLOOKUP(D351,[1]apoio_Preços_MGS!$A$6:$AN$238,20,FALSE)</f>
        <v>0</v>
      </c>
      <c r="P351" s="40">
        <f>VLOOKUP(D351,[1]apoio_Preços_MGS!$A$6:$AN$238,21,FALSE)</f>
        <v>0</v>
      </c>
      <c r="Q351" s="40">
        <f>VLOOKUP(D351,[1]apoio_Preços_MGS!$A$6:$AN$238,22,FALSE)</f>
        <v>0</v>
      </c>
      <c r="R351" s="40">
        <f>VLOOKUP(D351,[1]apoio_Preços_MGS!$A$6:$AN$238,23,FALSE)</f>
        <v>0</v>
      </c>
      <c r="S351" s="40">
        <f>VLOOKUP(D351,[1]apoio_Preços_MGS!$A$6:$AN$238,24,FALSE)</f>
        <v>0</v>
      </c>
      <c r="T351" s="40">
        <f>VLOOKUP(D351,[1]apoio_Preços_MGS!$A$6:$AN$238,25,FALSE)</f>
        <v>0</v>
      </c>
      <c r="U351" s="40">
        <f t="shared" si="171"/>
        <v>1697.2426193826798</v>
      </c>
      <c r="V351" s="41">
        <v>0.81799999999999995</v>
      </c>
      <c r="W351" s="40">
        <f t="shared" si="172"/>
        <v>1388.344462655032</v>
      </c>
      <c r="X351" s="40">
        <f>VLOOKUP(D351,[1]apoio_Preços_MGS!$A$6:$AN$238,29,FALSE)</f>
        <v>31.89</v>
      </c>
      <c r="Y351" s="40">
        <f>VLOOKUP(D351,[1]apoio_Preços_MGS!$A$6:$AN$238,30,FALSE)</f>
        <v>49.32233415233415</v>
      </c>
      <c r="Z351" s="40">
        <f t="shared" si="199"/>
        <v>81.212334152334151</v>
      </c>
      <c r="AA351" s="40">
        <f>VLOOKUP(D351,[1]apoio_Preços_MGS!$A$6:$AN$238,32,FALSE)</f>
        <v>3.2587058292147448</v>
      </c>
      <c r="AB351" s="40">
        <f>VLOOKUP(D351,[1]apoio_Preços_MGS!$A$6:$AN$238,33,FALSE)</f>
        <v>161.14670761670766</v>
      </c>
      <c r="AC351" s="41">
        <f>VLOOKUP(D351,[1]apoio_Preços_MGS!$A$6:$AN$238,34,FALSE)</f>
        <v>0</v>
      </c>
      <c r="AD351" s="40">
        <f>(U351+W351+Z351+AB351+AA351+VLOOKUP(C351,[1]apoio_Prec_Folha!$A:$S,7,FALSE))*AC351</f>
        <v>0</v>
      </c>
      <c r="AE351" s="42">
        <f>VLOOKUP(D351,[1]apoio_Preços_MGS!$A$6:$AN$238,36,FALSE)</f>
        <v>7.0000000000000007E-2</v>
      </c>
      <c r="AF351" s="40">
        <f>(U351+W351+Z351+AB351+AD351+AA351+VLOOKUP(C351,[1]apoio_Prec_Folha!$A:$S,7,FALSE))*AE351</f>
        <v>270.7760407772206</v>
      </c>
      <c r="AG351" s="40">
        <f t="shared" si="200"/>
        <v>3601.98</v>
      </c>
      <c r="AH351" s="43">
        <f t="shared" si="201"/>
        <v>4200.55</v>
      </c>
      <c r="AI351" s="43">
        <f t="shared" si="202"/>
        <v>8401.1</v>
      </c>
      <c r="AJ351" s="43">
        <f t="shared" si="203"/>
        <v>470461.60000000003</v>
      </c>
      <c r="AK351" s="44">
        <f>VLOOKUP(D351,[1]apoio_Preços_MGS!$A$6:$AN$238,39,FALSE)</f>
        <v>181.81818181818184</v>
      </c>
      <c r="AL351" s="44">
        <f>IF(J351="demais municípios",VLOOKUP(D351,[1]apoio_Preços_MGS!$A$6:$AN$238,39,FALSE),0)</f>
        <v>181.81818181818184</v>
      </c>
      <c r="AM351" s="44">
        <v>0</v>
      </c>
      <c r="AN351" s="45">
        <f t="shared" si="197"/>
        <v>363.63636363636368</v>
      </c>
      <c r="AO351" s="44">
        <f>VLOOKUP(D351,[1]apoio_Preços_MGS!$A$6:$AN$238,40,FALSE)</f>
        <v>537.02</v>
      </c>
      <c r="AP351" s="44">
        <f>IF(J351="demais municípios",VLOOKUP(D351,[1]apoio_Preços_MGS!$A$6:$AN$238,40,FALSE),0)</f>
        <v>537.02</v>
      </c>
      <c r="AQ351" s="44">
        <v>0</v>
      </c>
      <c r="AR351" s="45">
        <f t="shared" si="198"/>
        <v>1074.04</v>
      </c>
      <c r="AS351" s="45">
        <f t="shared" si="188"/>
        <v>1437.6763636363637</v>
      </c>
      <c r="AT351" s="45">
        <f t="shared" si="189"/>
        <v>86260.581818181818</v>
      </c>
      <c r="AU351" s="62"/>
      <c r="AV351" s="46"/>
      <c r="AW351" s="47"/>
      <c r="AX351" s="48"/>
      <c r="AY351" s="49"/>
      <c r="BA351" s="48"/>
    </row>
    <row r="352" spans="1:53" ht="19.5" customHeight="1" x14ac:dyDescent="0.25">
      <c r="A352" s="33" t="str">
        <f t="shared" si="184"/>
        <v>106232400,05</v>
      </c>
      <c r="B352" s="33" t="str">
        <f t="shared" si="185"/>
        <v>2320,05</v>
      </c>
      <c r="C352" s="34" t="str">
        <f>VLOOKUP(D352,[1]apoio_Preços_MGS!$A$6:$B$238,2,FALSE)</f>
        <v>MANUTENÇÃO DE ÁREAS VERDES E VIVEIROS</v>
      </c>
      <c r="D352" s="35">
        <v>232</v>
      </c>
      <c r="E352" s="33" t="str">
        <f>VLOOKUP(D352,[1]apoio_Preços_MGS!$A$6:$F$238,6,FALSE)</f>
        <v>MANUTENÇÃO DE ÁREAS VERDES E VIVEIROS - DIARISTA DIURNO - 40H</v>
      </c>
      <c r="F352" s="36">
        <f>IFERROR(VLOOKUP(D352,'[1]apoio_cód catmas'!$B$2:$C$863,2,FALSE),0)</f>
        <v>106232</v>
      </c>
      <c r="G352" s="33" t="str">
        <f>IF(H352="N/A",VLOOKUP(F352&amp;40,'[1]apoio_cód catmas'!$A$1:$G$233,4,FALSE),VLOOKUP(F352&amp;H352,'[1]apoio_cód catmas'!$A$1:$G$233,4,FALSE))</f>
        <v>MANUTENCAO DE AREAS VERDES E VIVEIROS - 40H</v>
      </c>
      <c r="H352" s="36">
        <v>40</v>
      </c>
      <c r="I352" s="37">
        <v>0.05</v>
      </c>
      <c r="J352" s="38" t="s">
        <v>46</v>
      </c>
      <c r="K352" s="39">
        <f>42-K353</f>
        <v>6</v>
      </c>
      <c r="L352" s="39">
        <f t="shared" si="196"/>
        <v>360</v>
      </c>
      <c r="M352" s="40">
        <f>VLOOKUP(D352,[1]apoio_Preços_MGS!$A$6:$AN$238,18,FALSE)</f>
        <v>1697.2426193826798</v>
      </c>
      <c r="N352" s="40">
        <f>VLOOKUP(D352,[1]apoio_Preços_MGS!$A$6:$AN$238,19,FALSE)</f>
        <v>0</v>
      </c>
      <c r="O352" s="40">
        <f>VLOOKUP(D352,[1]apoio_Preços_MGS!$A$6:$AN$238,20,FALSE)</f>
        <v>0</v>
      </c>
      <c r="P352" s="40">
        <f>VLOOKUP(D352,[1]apoio_Preços_MGS!$A$6:$AN$238,21,FALSE)</f>
        <v>0</v>
      </c>
      <c r="Q352" s="40">
        <f>VLOOKUP(D352,[1]apoio_Preços_MGS!$A$6:$AN$238,22,FALSE)</f>
        <v>0</v>
      </c>
      <c r="R352" s="40">
        <f>VLOOKUP(D352,[1]apoio_Preços_MGS!$A$6:$AN$238,23,FALSE)</f>
        <v>0</v>
      </c>
      <c r="S352" s="40">
        <f>VLOOKUP(D352,[1]apoio_Preços_MGS!$A$6:$AN$238,24,FALSE)</f>
        <v>0</v>
      </c>
      <c r="T352" s="40">
        <f>VLOOKUP(D352,[1]apoio_Preços_MGS!$A$6:$AN$238,25,FALSE)</f>
        <v>0</v>
      </c>
      <c r="U352" s="40">
        <f t="shared" si="171"/>
        <v>1697.2426193826798</v>
      </c>
      <c r="V352" s="41">
        <v>0.81799999999999995</v>
      </c>
      <c r="W352" s="40">
        <f t="shared" si="172"/>
        <v>1388.344462655032</v>
      </c>
      <c r="X352" s="40">
        <f>VLOOKUP(D352,[1]apoio_Preços_MGS!$A$6:$AN$238,29,FALSE)</f>
        <v>31.89</v>
      </c>
      <c r="Y352" s="40">
        <f>VLOOKUP(D352,[1]apoio_Preços_MGS!$A$6:$AN$238,30,FALSE)</f>
        <v>49.32233415233415</v>
      </c>
      <c r="Z352" s="40">
        <f t="shared" si="199"/>
        <v>81.212334152334151</v>
      </c>
      <c r="AA352" s="40">
        <f>VLOOKUP(D352,[1]apoio_Preços_MGS!$A$6:$AN$238,32,FALSE)</f>
        <v>3.2587058292147448</v>
      </c>
      <c r="AB352" s="40">
        <f>VLOOKUP(D352,[1]apoio_Preços_MGS!$A$6:$AN$238,33,FALSE)</f>
        <v>161.14670761670766</v>
      </c>
      <c r="AC352" s="41">
        <f>VLOOKUP(D352,[1]apoio_Preços_MGS!$A$6:$AN$238,34,FALSE)</f>
        <v>0</v>
      </c>
      <c r="AD352" s="40">
        <f>(U352+W352+Z352+AB352+AA352+VLOOKUP(C352,[1]apoio_Prec_Folha!$A:$S,7,FALSE))*AC352</f>
        <v>0</v>
      </c>
      <c r="AE352" s="42">
        <f>VLOOKUP(D352,[1]apoio_Preços_MGS!$A$6:$AN$238,36,FALSE)</f>
        <v>7.0000000000000007E-2</v>
      </c>
      <c r="AF352" s="40">
        <f>(U352+W352+Z352+AB352+AD352+AA352+VLOOKUP(C352,[1]apoio_Prec_Folha!$A:$S,7,FALSE))*AE352</f>
        <v>270.7760407772206</v>
      </c>
      <c r="AG352" s="40">
        <f t="shared" si="200"/>
        <v>3601.98</v>
      </c>
      <c r="AH352" s="43">
        <f t="shared" si="201"/>
        <v>4200.55</v>
      </c>
      <c r="AI352" s="43">
        <f t="shared" si="202"/>
        <v>25203.300000000003</v>
      </c>
      <c r="AJ352" s="43">
        <f t="shared" si="203"/>
        <v>1512198</v>
      </c>
      <c r="AK352" s="44">
        <f>VLOOKUP(D352,[1]apoio_Preços_MGS!$A$6:$AN$238,39,FALSE)</f>
        <v>181.81818181818184</v>
      </c>
      <c r="AL352" s="44">
        <f>IF(J352="demais municípios",VLOOKUP(D352,[1]apoio_Preços_MGS!$A$6:$AN$238,39,FALSE),0)</f>
        <v>181.81818181818184</v>
      </c>
      <c r="AM352" s="44">
        <v>0</v>
      </c>
      <c r="AN352" s="45">
        <f t="shared" si="197"/>
        <v>1090.909090909091</v>
      </c>
      <c r="AO352" s="44">
        <f>VLOOKUP(D352,[1]apoio_Preços_MGS!$A$6:$AN$238,40,FALSE)</f>
        <v>537.02</v>
      </c>
      <c r="AP352" s="44">
        <f>IF(J352="demais municípios",VLOOKUP(D352,[1]apoio_Preços_MGS!$A$6:$AN$238,40,FALSE),0)</f>
        <v>537.02</v>
      </c>
      <c r="AQ352" s="44">
        <v>0</v>
      </c>
      <c r="AR352" s="45">
        <f t="shared" si="198"/>
        <v>3222.12</v>
      </c>
      <c r="AS352" s="45">
        <f t="shared" si="188"/>
        <v>4313.0290909090909</v>
      </c>
      <c r="AT352" s="45">
        <f t="shared" si="189"/>
        <v>258781.74545454545</v>
      </c>
      <c r="AU352" s="62"/>
      <c r="AV352" s="46"/>
      <c r="AW352" s="47"/>
      <c r="AX352" s="48"/>
      <c r="AY352" s="49"/>
      <c r="BA352" s="48"/>
    </row>
    <row r="353" spans="1:53" ht="19.5" customHeight="1" x14ac:dyDescent="0.25">
      <c r="A353" s="33" t="str">
        <f t="shared" si="184"/>
        <v>106232400,05</v>
      </c>
      <c r="B353" s="33" t="str">
        <f t="shared" si="185"/>
        <v>2320,05</v>
      </c>
      <c r="C353" s="34" t="str">
        <f>VLOOKUP(D353,[1]apoio_Preços_MGS!$A$6:$B$238,2,FALSE)</f>
        <v>MANUTENÇÃO DE ÁREAS VERDES E VIVEIROS</v>
      </c>
      <c r="D353" s="35">
        <v>232</v>
      </c>
      <c r="E353" s="33" t="str">
        <f>VLOOKUP(D353,[1]apoio_Preços_MGS!$A$6:$F$238,6,FALSE)</f>
        <v>MANUTENÇÃO DE ÁREAS VERDES E VIVEIROS - DIARISTA DIURNO - 40H</v>
      </c>
      <c r="F353" s="36">
        <f>IFERROR(VLOOKUP(D353,'[1]apoio_cód catmas'!$B$2:$C$863,2,FALSE),0)</f>
        <v>106232</v>
      </c>
      <c r="G353" s="33" t="str">
        <f>IF(H353="N/A",VLOOKUP(F353&amp;40,'[1]apoio_cód catmas'!$A$1:$G$233,4,FALSE),VLOOKUP(F353&amp;H353,'[1]apoio_cód catmas'!$A$1:$G$233,4,FALSE))</f>
        <v>MANUTENCAO DE AREAS VERDES E VIVEIROS - 40H</v>
      </c>
      <c r="H353" s="36">
        <v>40</v>
      </c>
      <c r="I353" s="37">
        <v>0.05</v>
      </c>
      <c r="J353" s="38" t="s">
        <v>47</v>
      </c>
      <c r="K353" s="39">
        <v>36</v>
      </c>
      <c r="L353" s="39">
        <f t="shared" si="196"/>
        <v>2160</v>
      </c>
      <c r="M353" s="40">
        <f>VLOOKUP(D353,[1]apoio_Preços_MGS!$A$6:$AN$238,18,FALSE)</f>
        <v>1697.2426193826798</v>
      </c>
      <c r="N353" s="40">
        <f>VLOOKUP(D353,[1]apoio_Preços_MGS!$A$6:$AN$238,19,FALSE)</f>
        <v>0</v>
      </c>
      <c r="O353" s="40">
        <f>VLOOKUP(D353,[1]apoio_Preços_MGS!$A$6:$AN$238,20,FALSE)</f>
        <v>0</v>
      </c>
      <c r="P353" s="40">
        <f>VLOOKUP(D353,[1]apoio_Preços_MGS!$A$6:$AN$238,21,FALSE)</f>
        <v>0</v>
      </c>
      <c r="Q353" s="40">
        <f>VLOOKUP(D353,[1]apoio_Preços_MGS!$A$6:$AN$238,22,FALSE)</f>
        <v>0</v>
      </c>
      <c r="R353" s="40">
        <f>VLOOKUP(D353,[1]apoio_Preços_MGS!$A$6:$AN$238,23,FALSE)</f>
        <v>0</v>
      </c>
      <c r="S353" s="40">
        <f>VLOOKUP(D353,[1]apoio_Preços_MGS!$A$6:$AN$238,24,FALSE)</f>
        <v>0</v>
      </c>
      <c r="T353" s="40">
        <f>VLOOKUP(D353,[1]apoio_Preços_MGS!$A$6:$AN$238,25,FALSE)</f>
        <v>0</v>
      </c>
      <c r="U353" s="40">
        <f t="shared" si="171"/>
        <v>1697.2426193826798</v>
      </c>
      <c r="V353" s="41">
        <v>0.81799999999999995</v>
      </c>
      <c r="W353" s="40">
        <f t="shared" si="172"/>
        <v>1388.344462655032</v>
      </c>
      <c r="X353" s="40">
        <f>VLOOKUP(D353,[1]apoio_Preços_MGS!$A$6:$AN$238,29,FALSE)</f>
        <v>31.89</v>
      </c>
      <c r="Y353" s="40">
        <f>VLOOKUP(D353,[1]apoio_Preços_MGS!$A$6:$AN$238,30,FALSE)</f>
        <v>49.32233415233415</v>
      </c>
      <c r="Z353" s="40">
        <f t="shared" si="199"/>
        <v>81.212334152334151</v>
      </c>
      <c r="AA353" s="40">
        <f>VLOOKUP(D353,[1]apoio_Preços_MGS!$A$6:$AN$238,32,FALSE)</f>
        <v>3.2587058292147448</v>
      </c>
      <c r="AB353" s="40">
        <f>VLOOKUP(D353,[1]apoio_Preços_MGS!$A$6:$AN$238,33,FALSE)</f>
        <v>161.14670761670766</v>
      </c>
      <c r="AC353" s="41">
        <f>VLOOKUP(D353,[1]apoio_Preços_MGS!$A$6:$AN$238,34,FALSE)</f>
        <v>0</v>
      </c>
      <c r="AD353" s="40">
        <f>(U353+W353+Z353+AB353+AA353+VLOOKUP(C353,[1]apoio_Prec_Folha!$A:$S,7,FALSE))*AC353</f>
        <v>0</v>
      </c>
      <c r="AE353" s="42">
        <f>VLOOKUP(D353,[1]apoio_Preços_MGS!$A$6:$AN$238,36,FALSE)</f>
        <v>7.0000000000000007E-2</v>
      </c>
      <c r="AF353" s="40">
        <f>(U353+W353+Z353+AB353+AD353+AA353+VLOOKUP(C353,[1]apoio_Prec_Folha!$A:$S,7,FALSE))*AE353</f>
        <v>270.7760407772206</v>
      </c>
      <c r="AG353" s="40">
        <f t="shared" si="200"/>
        <v>3601.98</v>
      </c>
      <c r="AH353" s="43">
        <f t="shared" si="201"/>
        <v>4200.55</v>
      </c>
      <c r="AI353" s="43">
        <f t="shared" si="202"/>
        <v>151219.80000000002</v>
      </c>
      <c r="AJ353" s="43">
        <f t="shared" si="203"/>
        <v>9073188</v>
      </c>
      <c r="AK353" s="44">
        <f>VLOOKUP(D353,[1]apoio_Preços_MGS!$A$6:$AN$238,39,FALSE)</f>
        <v>181.81818181818184</v>
      </c>
      <c r="AL353" s="44">
        <f>IF(J353="demais municípios",VLOOKUP(D353,[1]apoio_Preços_MGS!$A$6:$AN$238,39,FALSE),0)</f>
        <v>0</v>
      </c>
      <c r="AM353" s="44">
        <f>TRUNC(ROUND(($I353)/(1-($I353)),5)*VLOOKUP(D353,[1]apoio_Preços_MGS!$A$6:$AN$238,39,FALSE)+VLOOKUP(D353,[1]apoio_Preços_MGS!$A$6:$AN$238,39,FALSE),2)</f>
        <v>191.38</v>
      </c>
      <c r="AN353" s="45">
        <f t="shared" si="186"/>
        <v>6889.68</v>
      </c>
      <c r="AO353" s="44">
        <f>VLOOKUP(D353,[1]apoio_Preços_MGS!$A$6:$AN$238,40,FALSE)</f>
        <v>537.02</v>
      </c>
      <c r="AP353" s="44">
        <f>IF(J353="demais municípios",VLOOKUP(D353,[1]apoio_Preços_MGS!$A$6:$AN$238,40,FALSE),0)</f>
        <v>0</v>
      </c>
      <c r="AQ353" s="44">
        <f>TRUNC(ROUND(($I353)/(1-($I353)),5)*VLOOKUP(D353,[1]apoio_Preços_MGS!$A$6:$AN$238,40,FALSE)+VLOOKUP(D353,[1]apoio_Preços_MGS!$A$6:$AN$238,40,FALSE),2)</f>
        <v>565.28</v>
      </c>
      <c r="AR353" s="45">
        <f t="shared" si="187"/>
        <v>20350.079999999998</v>
      </c>
      <c r="AS353" s="45">
        <f t="shared" si="188"/>
        <v>27239.759999999998</v>
      </c>
      <c r="AT353" s="45">
        <f t="shared" si="189"/>
        <v>1634385.5999999999</v>
      </c>
      <c r="AU353" s="62"/>
      <c r="AV353" s="46"/>
      <c r="AW353" s="47"/>
      <c r="AX353" s="48"/>
      <c r="AY353" s="49"/>
      <c r="BA353" s="48"/>
    </row>
    <row r="354" spans="1:53" ht="19.5" customHeight="1" x14ac:dyDescent="0.25">
      <c r="A354" s="33" t="str">
        <f t="shared" si="184"/>
        <v>100420440,03</v>
      </c>
      <c r="B354" s="33" t="str">
        <f t="shared" si="185"/>
        <v>11740,03</v>
      </c>
      <c r="C354" s="34" t="str">
        <f>VLOOKUP(D354,[1]apoio_Preços_MGS!$A$6:$B$238,2,FALSE)</f>
        <v>MANUTENÇÃO DE ÁREAS VERDES E VIVEIROS</v>
      </c>
      <c r="D354" s="35">
        <v>1174</v>
      </c>
      <c r="E354" s="33" t="str">
        <f>VLOOKUP(D354,[1]apoio_Preços_MGS!$A$6:$F$238,6,FALSE)</f>
        <v>MANUTENÇÃO DE ÁREAS VERDES E VIVEIROS - DIARISTA DIURNO - 44H</v>
      </c>
      <c r="F354" s="36">
        <f>IFERROR(VLOOKUP(D354,'[1]apoio_cód catmas'!$B$2:$C$863,2,FALSE),0)</f>
        <v>100420</v>
      </c>
      <c r="G354" s="33" t="str">
        <f>IF(H354="N/A",VLOOKUP(F354&amp;40,'[1]apoio_cód catmas'!$A$1:$G$233,4,FALSE),VLOOKUP(F354&amp;H354,'[1]apoio_cód catmas'!$A$1:$G$233,4,FALSE))</f>
        <v>MANUTENCAO DE AREAS VERDES E VIVEIROS - 44H</v>
      </c>
      <c r="H354" s="36">
        <v>44</v>
      </c>
      <c r="I354" s="37">
        <v>0.03</v>
      </c>
      <c r="J354" s="38" t="s">
        <v>46</v>
      </c>
      <c r="K354" s="39">
        <f>2-1</f>
        <v>1</v>
      </c>
      <c r="L354" s="39">
        <f t="shared" si="196"/>
        <v>60</v>
      </c>
      <c r="M354" s="40">
        <f>VLOOKUP(D354,[1]apoio_Preços_MGS!$A$6:$AN$238,18,FALSE)</f>
        <v>1866.9668813209478</v>
      </c>
      <c r="N354" s="40">
        <f>VLOOKUP(D354,[1]apoio_Preços_MGS!$A$6:$AN$238,19,FALSE)</f>
        <v>0</v>
      </c>
      <c r="O354" s="40">
        <f>VLOOKUP(D354,[1]apoio_Preços_MGS!$A$6:$AN$238,20,FALSE)</f>
        <v>0</v>
      </c>
      <c r="P354" s="40">
        <f>VLOOKUP(D354,[1]apoio_Preços_MGS!$A$6:$AN$238,21,FALSE)</f>
        <v>0</v>
      </c>
      <c r="Q354" s="40">
        <f>VLOOKUP(D354,[1]apoio_Preços_MGS!$A$6:$AN$238,22,FALSE)</f>
        <v>0</v>
      </c>
      <c r="R354" s="40">
        <f>VLOOKUP(D354,[1]apoio_Preços_MGS!$A$6:$AN$238,23,FALSE)</f>
        <v>0</v>
      </c>
      <c r="S354" s="40">
        <f>VLOOKUP(D354,[1]apoio_Preços_MGS!$A$6:$AN$238,24,FALSE)</f>
        <v>0</v>
      </c>
      <c r="T354" s="40">
        <f>VLOOKUP(D354,[1]apoio_Preços_MGS!$A$6:$AN$238,25,FALSE)</f>
        <v>0</v>
      </c>
      <c r="U354" s="40">
        <f t="shared" si="171"/>
        <v>1866.9668813209478</v>
      </c>
      <c r="V354" s="41">
        <v>0.81799999999999995</v>
      </c>
      <c r="W354" s="40">
        <f t="shared" si="172"/>
        <v>1527.1789089205352</v>
      </c>
      <c r="X354" s="40">
        <f>VLOOKUP(D354,[1]apoio_Preços_MGS!$A$6:$AN$238,29,FALSE)</f>
        <v>31.89</v>
      </c>
      <c r="Y354" s="40">
        <f>VLOOKUP(D354,[1]apoio_Preços_MGS!$A$6:$AN$238,30,FALSE)</f>
        <v>49.32233415233415</v>
      </c>
      <c r="Z354" s="40">
        <f t="shared" si="199"/>
        <v>81.212334152334151</v>
      </c>
      <c r="AA354" s="40">
        <f>VLOOKUP(D354,[1]apoio_Preços_MGS!$A$6:$AN$238,32,FALSE)</f>
        <v>3.5845764121362196</v>
      </c>
      <c r="AB354" s="40">
        <f>VLOOKUP(D354,[1]apoio_Preços_MGS!$A$6:$AN$238,33,FALSE)</f>
        <v>155.88391891891897</v>
      </c>
      <c r="AC354" s="41">
        <f>VLOOKUP(D354,[1]apoio_Preços_MGS!$A$6:$AN$238,34,FALSE)</f>
        <v>0</v>
      </c>
      <c r="AD354" s="40">
        <f>(U354+W354+Z354+AB354+AA354+VLOOKUP(C354,[1]apoio_Prec_Folha!$A:$S,7,FALSE))*AC354</f>
        <v>0</v>
      </c>
      <c r="AE354" s="42">
        <f>VLOOKUP(D354,[1]apoio_Preços_MGS!$A$6:$AN$238,36,FALSE)</f>
        <v>7.0000000000000007E-2</v>
      </c>
      <c r="AF354" s="40">
        <f>(U354+W354+Z354+AB354+AD354+AA354+VLOOKUP(C354,[1]apoio_Prec_Folha!$A:$S,7,FALSE))*AE354</f>
        <v>292.02956608344391</v>
      </c>
      <c r="AG354" s="40">
        <f t="shared" si="200"/>
        <v>3926.85</v>
      </c>
      <c r="AH354" s="43">
        <f t="shared" si="201"/>
        <v>4475.03</v>
      </c>
      <c r="AI354" s="43">
        <f t="shared" si="202"/>
        <v>4475.03</v>
      </c>
      <c r="AJ354" s="43">
        <f t="shared" si="203"/>
        <v>268501.8</v>
      </c>
      <c r="AK354" s="44">
        <f>VLOOKUP(D354,[1]apoio_Preços_MGS!$A$6:$AN$238,39,FALSE)</f>
        <v>200.00000000000003</v>
      </c>
      <c r="AL354" s="44">
        <f>IF(J354="demais municípios",VLOOKUP(D354,[1]apoio_Preços_MGS!$A$6:$AN$238,39,FALSE),0)</f>
        <v>200.00000000000003</v>
      </c>
      <c r="AM354" s="44">
        <v>0</v>
      </c>
      <c r="AN354" s="45">
        <f t="shared" ref="AN354:AN355" si="204">AK354*K354</f>
        <v>200.00000000000003</v>
      </c>
      <c r="AO354" s="44">
        <f>VLOOKUP(D354,[1]apoio_Preços_MGS!$A$6:$AN$238,40,FALSE)</f>
        <v>537.02</v>
      </c>
      <c r="AP354" s="44">
        <f>IF(J354="demais municípios",VLOOKUP(D354,[1]apoio_Preços_MGS!$A$6:$AN$238,40,FALSE),0)</f>
        <v>537.02</v>
      </c>
      <c r="AQ354" s="44">
        <v>0</v>
      </c>
      <c r="AR354" s="45">
        <f t="shared" ref="AR354:AR355" si="205">AO354*K354</f>
        <v>537.02</v>
      </c>
      <c r="AS354" s="45">
        <f t="shared" si="188"/>
        <v>737.02</v>
      </c>
      <c r="AT354" s="45">
        <f t="shared" si="189"/>
        <v>44221.2</v>
      </c>
      <c r="AU354" s="62"/>
      <c r="AV354" s="46"/>
      <c r="AW354" s="47"/>
      <c r="AX354" s="48"/>
      <c r="AY354" s="49"/>
      <c r="BA354" s="48"/>
    </row>
    <row r="355" spans="1:53" ht="19.5" customHeight="1" x14ac:dyDescent="0.25">
      <c r="A355" s="33" t="str">
        <f t="shared" si="184"/>
        <v>100420440,05</v>
      </c>
      <c r="B355" s="33" t="str">
        <f t="shared" si="185"/>
        <v>11740,05</v>
      </c>
      <c r="C355" s="34" t="str">
        <f>VLOOKUP(D355,[1]apoio_Preços_MGS!$A$6:$B$238,2,FALSE)</f>
        <v>MANUTENÇÃO DE ÁREAS VERDES E VIVEIROS</v>
      </c>
      <c r="D355" s="35">
        <v>1174</v>
      </c>
      <c r="E355" s="33" t="str">
        <f>VLOOKUP(D355,[1]apoio_Preços_MGS!$A$6:$F$238,6,FALSE)</f>
        <v>MANUTENÇÃO DE ÁREAS VERDES E VIVEIROS - DIARISTA DIURNO - 44H</v>
      </c>
      <c r="F355" s="36">
        <f>IFERROR(VLOOKUP(D355,'[1]apoio_cód catmas'!$B$2:$C$863,2,FALSE),0)</f>
        <v>100420</v>
      </c>
      <c r="G355" s="33" t="str">
        <f>IF(H355="N/A",VLOOKUP(F355&amp;40,'[1]apoio_cód catmas'!$A$1:$G$233,4,FALSE),VLOOKUP(F355&amp;H355,'[1]apoio_cód catmas'!$A$1:$G$233,4,FALSE))</f>
        <v>MANUTENCAO DE AREAS VERDES E VIVEIROS - 44H</v>
      </c>
      <c r="H355" s="36">
        <v>44</v>
      </c>
      <c r="I355" s="37">
        <v>0.05</v>
      </c>
      <c r="J355" s="38" t="s">
        <v>46</v>
      </c>
      <c r="K355" s="39">
        <v>1</v>
      </c>
      <c r="L355" s="39">
        <f>K355*56</f>
        <v>56</v>
      </c>
      <c r="M355" s="40">
        <f>VLOOKUP(D355,[1]apoio_Preços_MGS!$A$6:$AN$238,18,FALSE)</f>
        <v>1866.9668813209478</v>
      </c>
      <c r="N355" s="40">
        <f>VLOOKUP(D355,[1]apoio_Preços_MGS!$A$6:$AN$238,19,FALSE)</f>
        <v>0</v>
      </c>
      <c r="O355" s="40">
        <f>VLOOKUP(D355,[1]apoio_Preços_MGS!$A$6:$AN$238,20,FALSE)</f>
        <v>0</v>
      </c>
      <c r="P355" s="40">
        <f>VLOOKUP(D355,[1]apoio_Preços_MGS!$A$6:$AN$238,21,FALSE)</f>
        <v>0</v>
      </c>
      <c r="Q355" s="40">
        <f>VLOOKUP(D355,[1]apoio_Preços_MGS!$A$6:$AN$238,22,FALSE)</f>
        <v>0</v>
      </c>
      <c r="R355" s="40">
        <f>VLOOKUP(D355,[1]apoio_Preços_MGS!$A$6:$AN$238,23,FALSE)</f>
        <v>0</v>
      </c>
      <c r="S355" s="40">
        <f>VLOOKUP(D355,[1]apoio_Preços_MGS!$A$6:$AN$238,24,FALSE)</f>
        <v>0</v>
      </c>
      <c r="T355" s="40">
        <f>VLOOKUP(D355,[1]apoio_Preços_MGS!$A$6:$AN$238,25,FALSE)</f>
        <v>0</v>
      </c>
      <c r="U355" s="40">
        <f t="shared" si="171"/>
        <v>1866.9668813209478</v>
      </c>
      <c r="V355" s="41">
        <v>0.81799999999999995</v>
      </c>
      <c r="W355" s="40">
        <f t="shared" si="172"/>
        <v>1527.1789089205352</v>
      </c>
      <c r="X355" s="40">
        <f>VLOOKUP(D355,[1]apoio_Preços_MGS!$A$6:$AN$238,29,FALSE)</f>
        <v>31.89</v>
      </c>
      <c r="Y355" s="40">
        <f>VLOOKUP(D355,[1]apoio_Preços_MGS!$A$6:$AN$238,30,FALSE)</f>
        <v>49.32233415233415</v>
      </c>
      <c r="Z355" s="40">
        <f t="shared" si="199"/>
        <v>81.212334152334151</v>
      </c>
      <c r="AA355" s="40">
        <f>VLOOKUP(D355,[1]apoio_Preços_MGS!$A$6:$AN$238,32,FALSE)</f>
        <v>3.5845764121362196</v>
      </c>
      <c r="AB355" s="40">
        <f>VLOOKUP(D355,[1]apoio_Preços_MGS!$A$6:$AN$238,33,FALSE)</f>
        <v>155.88391891891897</v>
      </c>
      <c r="AC355" s="41">
        <f>VLOOKUP(D355,[1]apoio_Preços_MGS!$A$6:$AN$238,34,FALSE)</f>
        <v>0</v>
      </c>
      <c r="AD355" s="40">
        <f>(U355+W355+Z355+AB355+AA355+VLOOKUP(C355,[1]apoio_Prec_Folha!$A:$S,7,FALSE))*AC355</f>
        <v>0</v>
      </c>
      <c r="AE355" s="42">
        <f>VLOOKUP(D355,[1]apoio_Preços_MGS!$A$6:$AN$238,36,FALSE)</f>
        <v>7.0000000000000007E-2</v>
      </c>
      <c r="AF355" s="40">
        <f>(U355+W355+Z355+AB355+AD355+AA355+VLOOKUP(C355,[1]apoio_Prec_Folha!$A:$S,7,FALSE))*AE355</f>
        <v>292.02956608344391</v>
      </c>
      <c r="AG355" s="40">
        <f t="shared" si="200"/>
        <v>3926.85</v>
      </c>
      <c r="AH355" s="43">
        <f t="shared" si="201"/>
        <v>4579.41</v>
      </c>
      <c r="AI355" s="43">
        <f t="shared" si="202"/>
        <v>4579.41</v>
      </c>
      <c r="AJ355" s="43">
        <f t="shared" si="203"/>
        <v>256446.96</v>
      </c>
      <c r="AK355" s="44">
        <f>VLOOKUP(D355,[1]apoio_Preços_MGS!$A$6:$AN$238,39,FALSE)</f>
        <v>200.00000000000003</v>
      </c>
      <c r="AL355" s="44">
        <f>IF(J355="demais municípios",VLOOKUP(D355,[1]apoio_Preços_MGS!$A$6:$AN$238,39,FALSE),0)</f>
        <v>200.00000000000003</v>
      </c>
      <c r="AM355" s="44">
        <v>0</v>
      </c>
      <c r="AN355" s="45">
        <f t="shared" si="204"/>
        <v>200.00000000000003</v>
      </c>
      <c r="AO355" s="44">
        <f>VLOOKUP(D355,[1]apoio_Preços_MGS!$A$6:$AN$238,40,FALSE)</f>
        <v>537.02</v>
      </c>
      <c r="AP355" s="44">
        <f>IF(J355="demais municípios",VLOOKUP(D355,[1]apoio_Preços_MGS!$A$6:$AN$238,40,FALSE),0)</f>
        <v>537.02</v>
      </c>
      <c r="AQ355" s="44">
        <v>0</v>
      </c>
      <c r="AR355" s="45">
        <f t="shared" si="205"/>
        <v>537.02</v>
      </c>
      <c r="AS355" s="45">
        <f t="shared" si="188"/>
        <v>737.02</v>
      </c>
      <c r="AT355" s="45">
        <f t="shared" si="189"/>
        <v>44221.2</v>
      </c>
      <c r="AU355" s="62"/>
      <c r="AV355" s="46"/>
      <c r="AW355" s="47"/>
      <c r="AX355" s="48"/>
      <c r="AY355" s="49"/>
      <c r="BA355" s="48"/>
    </row>
    <row r="356" spans="1:53" ht="19.5" customHeight="1" x14ac:dyDescent="0.25">
      <c r="A356" s="33" t="str">
        <f t="shared" si="184"/>
        <v>100420440,05</v>
      </c>
      <c r="B356" s="33" t="str">
        <f t="shared" si="185"/>
        <v>11740,05</v>
      </c>
      <c r="C356" s="34" t="str">
        <f>VLOOKUP(D356,[1]apoio_Preços_MGS!$A$6:$B$238,2,FALSE)</f>
        <v>MANUTENÇÃO DE ÁREAS VERDES E VIVEIROS</v>
      </c>
      <c r="D356" s="35">
        <v>1174</v>
      </c>
      <c r="E356" s="33" t="str">
        <f>VLOOKUP(D356,[1]apoio_Preços_MGS!$A$6:$F$238,6,FALSE)</f>
        <v>MANUTENÇÃO DE ÁREAS VERDES E VIVEIROS - DIARISTA DIURNO - 44H</v>
      </c>
      <c r="F356" s="36">
        <f>IFERROR(VLOOKUP(D356,'[1]apoio_cód catmas'!$B$2:$C$863,2,FALSE),0)</f>
        <v>100420</v>
      </c>
      <c r="G356" s="33" t="str">
        <f>IF(H356="N/A",VLOOKUP(F356&amp;40,'[1]apoio_cód catmas'!$A$1:$G$233,4,FALSE),VLOOKUP(F356&amp;H356,'[1]apoio_cód catmas'!$A$1:$G$233,4,FALSE))</f>
        <v>MANUTENCAO DE AREAS VERDES E VIVEIROS - 44H</v>
      </c>
      <c r="H356" s="36">
        <v>44</v>
      </c>
      <c r="I356" s="37">
        <v>0.05</v>
      </c>
      <c r="J356" s="38" t="s">
        <v>47</v>
      </c>
      <c r="K356" s="39">
        <v>4</v>
      </c>
      <c r="L356" s="39">
        <f t="shared" si="196"/>
        <v>240</v>
      </c>
      <c r="M356" s="40">
        <f>VLOOKUP(D356,[1]apoio_Preços_MGS!$A$6:$AN$238,18,FALSE)</f>
        <v>1866.9668813209478</v>
      </c>
      <c r="N356" s="40">
        <f>VLOOKUP(D356,[1]apoio_Preços_MGS!$A$6:$AN$238,19,FALSE)</f>
        <v>0</v>
      </c>
      <c r="O356" s="40">
        <f>VLOOKUP(D356,[1]apoio_Preços_MGS!$A$6:$AN$238,20,FALSE)</f>
        <v>0</v>
      </c>
      <c r="P356" s="40">
        <f>VLOOKUP(D356,[1]apoio_Preços_MGS!$A$6:$AN$238,21,FALSE)</f>
        <v>0</v>
      </c>
      <c r="Q356" s="40">
        <f>VLOOKUP(D356,[1]apoio_Preços_MGS!$A$6:$AN$238,22,FALSE)</f>
        <v>0</v>
      </c>
      <c r="R356" s="40">
        <f>VLOOKUP(D356,[1]apoio_Preços_MGS!$A$6:$AN$238,23,FALSE)</f>
        <v>0</v>
      </c>
      <c r="S356" s="40">
        <f>VLOOKUP(D356,[1]apoio_Preços_MGS!$A$6:$AN$238,24,FALSE)</f>
        <v>0</v>
      </c>
      <c r="T356" s="40">
        <f>VLOOKUP(D356,[1]apoio_Preços_MGS!$A$6:$AN$238,25,FALSE)</f>
        <v>0</v>
      </c>
      <c r="U356" s="40">
        <f t="shared" si="171"/>
        <v>1866.9668813209478</v>
      </c>
      <c r="V356" s="41">
        <v>0.81799999999999995</v>
      </c>
      <c r="W356" s="40">
        <f t="shared" si="172"/>
        <v>1527.1789089205352</v>
      </c>
      <c r="X356" s="40">
        <f>VLOOKUP(D356,[1]apoio_Preços_MGS!$A$6:$AN$238,29,FALSE)</f>
        <v>31.89</v>
      </c>
      <c r="Y356" s="40">
        <f>VLOOKUP(D356,[1]apoio_Preços_MGS!$A$6:$AN$238,30,FALSE)</f>
        <v>49.32233415233415</v>
      </c>
      <c r="Z356" s="40">
        <f t="shared" si="199"/>
        <v>81.212334152334151</v>
      </c>
      <c r="AA356" s="40">
        <f>VLOOKUP(D356,[1]apoio_Preços_MGS!$A$6:$AN$238,32,FALSE)</f>
        <v>3.5845764121362196</v>
      </c>
      <c r="AB356" s="40">
        <f>VLOOKUP(D356,[1]apoio_Preços_MGS!$A$6:$AN$238,33,FALSE)</f>
        <v>155.88391891891897</v>
      </c>
      <c r="AC356" s="41">
        <f>VLOOKUP(D356,[1]apoio_Preços_MGS!$A$6:$AN$238,34,FALSE)</f>
        <v>0</v>
      </c>
      <c r="AD356" s="40">
        <f>(U356+W356+Z356+AB356+AA356+VLOOKUP(C356,[1]apoio_Prec_Folha!$A:$S,7,FALSE))*AC356</f>
        <v>0</v>
      </c>
      <c r="AE356" s="42">
        <f>VLOOKUP(D356,[1]apoio_Preços_MGS!$A$6:$AN$238,36,FALSE)</f>
        <v>7.0000000000000007E-2</v>
      </c>
      <c r="AF356" s="40">
        <f>(U356+W356+Z356+AB356+AD356+AA356+VLOOKUP(C356,[1]apoio_Prec_Folha!$A:$S,7,FALSE))*AE356</f>
        <v>292.02956608344391</v>
      </c>
      <c r="AG356" s="40">
        <f t="shared" si="200"/>
        <v>3926.85</v>
      </c>
      <c r="AH356" s="43">
        <f t="shared" si="201"/>
        <v>4579.41</v>
      </c>
      <c r="AI356" s="43">
        <f t="shared" si="202"/>
        <v>18317.64</v>
      </c>
      <c r="AJ356" s="43">
        <f t="shared" si="203"/>
        <v>1099058.3999999999</v>
      </c>
      <c r="AK356" s="44">
        <f>VLOOKUP(D356,[1]apoio_Preços_MGS!$A$6:$AN$238,39,FALSE)</f>
        <v>200.00000000000003</v>
      </c>
      <c r="AL356" s="44">
        <f>IF(J356="demais municípios",VLOOKUP(D356,[1]apoio_Preços_MGS!$A$6:$AN$238,39,FALSE),0)</f>
        <v>0</v>
      </c>
      <c r="AM356" s="44">
        <f>TRUNC(ROUND(($I356)/(1-($I356)),5)*VLOOKUP(D356,[1]apoio_Preços_MGS!$A$6:$AN$238,39,FALSE)+VLOOKUP(D356,[1]apoio_Preços_MGS!$A$6:$AN$238,39,FALSE),2)</f>
        <v>210.52</v>
      </c>
      <c r="AN356" s="45">
        <f t="shared" si="186"/>
        <v>842.08</v>
      </c>
      <c r="AO356" s="44">
        <f>VLOOKUP(D356,[1]apoio_Preços_MGS!$A$6:$AN$238,40,FALSE)</f>
        <v>537.02</v>
      </c>
      <c r="AP356" s="44">
        <f>IF(J356="demais municípios",VLOOKUP(D356,[1]apoio_Preços_MGS!$A$6:$AN$238,40,FALSE),0)</f>
        <v>0</v>
      </c>
      <c r="AQ356" s="44">
        <f>TRUNC(ROUND(($I356)/(1-($I356)),5)*VLOOKUP(D356,[1]apoio_Preços_MGS!$A$6:$AN$238,40,FALSE)+VLOOKUP(D356,[1]apoio_Preços_MGS!$A$6:$AN$238,40,FALSE),2)</f>
        <v>565.28</v>
      </c>
      <c r="AR356" s="45">
        <f t="shared" si="187"/>
        <v>2261.12</v>
      </c>
      <c r="AS356" s="45">
        <f t="shared" si="188"/>
        <v>3103.2</v>
      </c>
      <c r="AT356" s="45">
        <f t="shared" si="189"/>
        <v>186192</v>
      </c>
      <c r="AU356" s="62"/>
      <c r="AV356" s="46"/>
      <c r="AW356" s="47"/>
      <c r="AX356" s="48"/>
      <c r="AY356" s="49"/>
      <c r="BA356" s="48"/>
    </row>
    <row r="357" spans="1:53" ht="19.5" customHeight="1" x14ac:dyDescent="0.25">
      <c r="A357" s="33" t="str">
        <f t="shared" si="184"/>
        <v>124052400,04</v>
      </c>
      <c r="B357" s="33" t="str">
        <f t="shared" si="185"/>
        <v>13940,04</v>
      </c>
      <c r="C357" s="34" t="str">
        <f>VLOOKUP(D357,[1]apoio_Preços_MGS!$A$6:$B$238,2,FALSE)</f>
        <v>MANUTENÇÃO DE ÁREAS VERDES E VIVEIROS</v>
      </c>
      <c r="D357" s="35">
        <v>1394</v>
      </c>
      <c r="E357" s="33" t="str">
        <f>VLOOKUP(D357,[1]apoio_Preços_MGS!$A$6:$F$238,6,FALSE)</f>
        <v>MANUTENÇÃO DE ÁREAS VERDES E VIVEIROS - (PERIC.) - DIARISTA DIURNO - 40H</v>
      </c>
      <c r="F357" s="36">
        <f>IFERROR(VLOOKUP(D357,'[1]apoio_cód catmas'!$B$2:$C$863,2,FALSE),0)</f>
        <v>124052</v>
      </c>
      <c r="G357" s="33" t="str">
        <f>IF(H357="N/A",VLOOKUP(F357&amp;40,'[1]apoio_cód catmas'!$A$1:$G$233,4,FALSE),VLOOKUP(F357&amp;H357,'[1]apoio_cód catmas'!$A$1:$G$233,4,FALSE))</f>
        <v>MANUTENCAO DE AREAS VERDES E VIVEIROS (PERICULOSIDADE) - 40H</v>
      </c>
      <c r="H357" s="36">
        <v>40</v>
      </c>
      <c r="I357" s="37">
        <v>0.04</v>
      </c>
      <c r="J357" s="38" t="s">
        <v>46</v>
      </c>
      <c r="K357" s="39">
        <v>4</v>
      </c>
      <c r="L357" s="39">
        <f t="shared" si="196"/>
        <v>240</v>
      </c>
      <c r="M357" s="40">
        <f>VLOOKUP(D357,[1]apoio_Preços_MGS!$A$6:$AN$238,18,FALSE)</f>
        <v>1697.2426193826798</v>
      </c>
      <c r="N357" s="40">
        <f>VLOOKUP(D357,[1]apoio_Preços_MGS!$A$6:$AN$238,19,FALSE)</f>
        <v>509.17278581480389</v>
      </c>
      <c r="O357" s="40">
        <f>VLOOKUP(D357,[1]apoio_Preços_MGS!$A$6:$AN$238,20,FALSE)</f>
        <v>0</v>
      </c>
      <c r="P357" s="40">
        <f>VLOOKUP(D357,[1]apoio_Preços_MGS!$A$6:$AN$238,21,FALSE)</f>
        <v>0</v>
      </c>
      <c r="Q357" s="40">
        <f>VLOOKUP(D357,[1]apoio_Preços_MGS!$A$6:$AN$238,22,FALSE)</f>
        <v>0</v>
      </c>
      <c r="R357" s="40">
        <f>VLOOKUP(D357,[1]apoio_Preços_MGS!$A$6:$AN$238,23,FALSE)</f>
        <v>0</v>
      </c>
      <c r="S357" s="40">
        <f>VLOOKUP(D357,[1]apoio_Preços_MGS!$A$6:$AN$238,24,FALSE)</f>
        <v>0</v>
      </c>
      <c r="T357" s="40">
        <f>VLOOKUP(D357,[1]apoio_Preços_MGS!$A$6:$AN$238,25,FALSE)</f>
        <v>0</v>
      </c>
      <c r="U357" s="40">
        <f t="shared" si="171"/>
        <v>2206.4154051974838</v>
      </c>
      <c r="V357" s="41">
        <v>0.81799999999999995</v>
      </c>
      <c r="W357" s="40">
        <f t="shared" si="172"/>
        <v>1804.8478014515417</v>
      </c>
      <c r="X357" s="40">
        <f>VLOOKUP(D357,[1]apoio_Preços_MGS!$A$6:$AN$238,29,FALSE)</f>
        <v>31.89</v>
      </c>
      <c r="Y357" s="40">
        <f>VLOOKUP(D357,[1]apoio_Preços_MGS!$A$6:$AN$238,30,FALSE)</f>
        <v>49.32233415233415</v>
      </c>
      <c r="Z357" s="40">
        <f t="shared" si="199"/>
        <v>81.212334152334151</v>
      </c>
      <c r="AA357" s="40">
        <f>VLOOKUP(D357,[1]apoio_Preços_MGS!$A$6:$AN$238,32,FALSE)</f>
        <v>3.2587058292147448</v>
      </c>
      <c r="AB357" s="40">
        <f>VLOOKUP(D357,[1]apoio_Preços_MGS!$A$6:$AN$238,33,FALSE)</f>
        <v>161.14670761670766</v>
      </c>
      <c r="AC357" s="41">
        <f>VLOOKUP(D357,[1]apoio_Preços_MGS!$A$6:$AN$238,34,FALSE)</f>
        <v>0</v>
      </c>
      <c r="AD357" s="40">
        <f>(U357+W357+Z357+AB357+AA357+VLOOKUP(C357,[1]apoio_Prec_Folha!$A:$S,7,FALSE))*AC357</f>
        <v>0</v>
      </c>
      <c r="AE357" s="42">
        <f>VLOOKUP(D357,[1]apoio_Preços_MGS!$A$6:$AN$238,36,FALSE)</f>
        <v>7.0000000000000007E-2</v>
      </c>
      <c r="AF357" s="40">
        <f>(U357+W357+Z357+AB357+AD357+AA357+VLOOKUP(C357,[1]apoio_Prec_Folha!$A:$S,7,FALSE))*AE357</f>
        <v>335.57336950001252</v>
      </c>
      <c r="AG357" s="40">
        <f t="shared" si="200"/>
        <v>4592.45</v>
      </c>
      <c r="AH357" s="43">
        <f t="shared" si="201"/>
        <v>5293.9</v>
      </c>
      <c r="AI357" s="43">
        <f t="shared" si="202"/>
        <v>21175.599999999999</v>
      </c>
      <c r="AJ357" s="43">
        <f t="shared" si="203"/>
        <v>1270536</v>
      </c>
      <c r="AK357" s="44">
        <f>VLOOKUP(D357,[1]apoio_Preços_MGS!$A$6:$AN$238,39,FALSE)</f>
        <v>181.81818181818184</v>
      </c>
      <c r="AL357" s="44">
        <f>IF(J357="demais municípios",VLOOKUP(D357,[1]apoio_Preços_MGS!$A$6:$AN$238,39,FALSE),0)</f>
        <v>181.81818181818184</v>
      </c>
      <c r="AM357" s="44">
        <v>0</v>
      </c>
      <c r="AN357" s="45">
        <f>AK357*K357</f>
        <v>727.27272727272737</v>
      </c>
      <c r="AO357" s="44">
        <f>VLOOKUP(D357,[1]apoio_Preços_MGS!$A$6:$AN$238,40,FALSE)</f>
        <v>537.02</v>
      </c>
      <c r="AP357" s="44">
        <f>IF(J357="demais municípios",VLOOKUP(D357,[1]apoio_Preços_MGS!$A$6:$AN$238,40,FALSE),0)</f>
        <v>537.02</v>
      </c>
      <c r="AQ357" s="44">
        <v>0</v>
      </c>
      <c r="AR357" s="45">
        <f>AO357*K357</f>
        <v>2148.08</v>
      </c>
      <c r="AS357" s="45">
        <f t="shared" si="188"/>
        <v>2875.3527272727274</v>
      </c>
      <c r="AT357" s="45">
        <f t="shared" si="189"/>
        <v>172521.16363636364</v>
      </c>
      <c r="AU357" s="62"/>
      <c r="AV357" s="46"/>
      <c r="AW357" s="47"/>
      <c r="AX357" s="48"/>
      <c r="AY357" s="49"/>
      <c r="BA357" s="48"/>
    </row>
    <row r="358" spans="1:53" ht="19.5" customHeight="1" x14ac:dyDescent="0.25">
      <c r="A358" s="33" t="str">
        <f t="shared" si="184"/>
        <v>63932440,05</v>
      </c>
      <c r="B358" s="33" t="str">
        <f t="shared" si="185"/>
        <v>19020,05</v>
      </c>
      <c r="C358" s="34" t="str">
        <f>VLOOKUP(D358,[1]apoio_Preços_MGS!$A$6:$B$238,2,FALSE)</f>
        <v>MECÂNICO DE MÁQUINAS E EQUIPAMENTOS</v>
      </c>
      <c r="D358" s="35">
        <v>1902</v>
      </c>
      <c r="E358" s="33" t="str">
        <f>VLOOKUP(D358,[1]apoio_Preços_MGS!$A$6:$F$238,6,FALSE)</f>
        <v>MECÂNICO DE MÁQUINAS E EQUIPAMENTOS - 12x36 DIURNO - 44H</v>
      </c>
      <c r="F358" s="36">
        <f>IFERROR(VLOOKUP(D358,'[1]apoio_cód catmas'!$B$2:$C$863,2,FALSE),0)</f>
        <v>63932</v>
      </c>
      <c r="G358" s="33" t="str">
        <f>IF(H358="N/A",VLOOKUP(F358&amp;40,'[1]apoio_cód catmas'!$A$1:$G$233,4,FALSE),VLOOKUP(F358&amp;H358,'[1]apoio_cód catmas'!$A$1:$G$233,4,FALSE))</f>
        <v>MECANICO DE MAQUINAS E EQUIPAMENTOS - 12X36 DIURNO - 44H</v>
      </c>
      <c r="H358" s="36">
        <v>44</v>
      </c>
      <c r="I358" s="37">
        <v>0.05</v>
      </c>
      <c r="J358" s="38" t="s">
        <v>47</v>
      </c>
      <c r="K358" s="39">
        <v>2</v>
      </c>
      <c r="L358" s="39">
        <f t="shared" si="196"/>
        <v>120</v>
      </c>
      <c r="M358" s="40">
        <f>VLOOKUP(D358,[1]apoio_Preços_MGS!$A$6:$AN$238,18,FALSE)</f>
        <v>2616.6144999999997</v>
      </c>
      <c r="N358" s="40">
        <f>VLOOKUP(D358,[1]apoio_Preços_MGS!$A$6:$AN$238,19,FALSE)</f>
        <v>0</v>
      </c>
      <c r="O358" s="40">
        <f>VLOOKUP(D358,[1]apoio_Preços_MGS!$A$6:$AN$238,20,FALSE)</f>
        <v>0</v>
      </c>
      <c r="P358" s="40">
        <f>VLOOKUP(D358,[1]apoio_Preços_MGS!$A$6:$AN$238,21,FALSE)</f>
        <v>0</v>
      </c>
      <c r="Q358" s="40">
        <f>VLOOKUP(D358,[1]apoio_Preços_MGS!$A$6:$AN$238,22,FALSE)</f>
        <v>0</v>
      </c>
      <c r="R358" s="40">
        <f>VLOOKUP(D358,[1]apoio_Preços_MGS!$A$6:$AN$238,23,FALSE)</f>
        <v>0</v>
      </c>
      <c r="S358" s="40">
        <f>VLOOKUP(D358,[1]apoio_Preços_MGS!$A$6:$AN$238,24,FALSE)</f>
        <v>0</v>
      </c>
      <c r="T358" s="40">
        <f>VLOOKUP(D358,[1]apoio_Preços_MGS!$A$6:$AN$238,25,FALSE)</f>
        <v>3.6341868055555548</v>
      </c>
      <c r="U358" s="40">
        <f t="shared" si="171"/>
        <v>2620.2486868055553</v>
      </c>
      <c r="V358" s="41">
        <v>0.81799999999999995</v>
      </c>
      <c r="W358" s="40">
        <f t="shared" si="172"/>
        <v>2143.3634258069442</v>
      </c>
      <c r="X358" s="40">
        <f>VLOOKUP(D358,[1]apoio_Preços_MGS!$A$6:$AN$238,29,FALSE)</f>
        <v>20.923636363636362</v>
      </c>
      <c r="Y358" s="40">
        <f>VLOOKUP(D358,[1]apoio_Preços_MGS!$A$6:$AN$238,30,FALSE)</f>
        <v>29.209999999999997</v>
      </c>
      <c r="Z358" s="40">
        <f t="shared" si="199"/>
        <v>50.133636363636356</v>
      </c>
      <c r="AA358" s="40">
        <f>VLOOKUP(D358,[1]apoio_Preços_MGS!$A$6:$AN$238,32,FALSE)</f>
        <v>5.0238998399999986</v>
      </c>
      <c r="AB358" s="40">
        <f>VLOOKUP(D358,[1]apoio_Preços_MGS!$A$6:$AN$238,33,FALSE)</f>
        <v>264.67200000000003</v>
      </c>
      <c r="AC358" s="41">
        <f>VLOOKUP(D358,[1]apoio_Preços_MGS!$A$6:$AN$238,34,FALSE)</f>
        <v>0</v>
      </c>
      <c r="AD358" s="40">
        <f>(U358+W358+Z358+AB358+AA358+VLOOKUP(C358,[1]apoio_Prec_Folha!$A:$S,7,FALSE))*AC358</f>
        <v>0</v>
      </c>
      <c r="AE358" s="42">
        <f>VLOOKUP(D358,[1]apoio_Preços_MGS!$A$6:$AN$238,36,FALSE)</f>
        <v>7.0000000000000007E-2</v>
      </c>
      <c r="AF358" s="40">
        <f>(U358+W358+Z358+AB358+AD358+AA358+VLOOKUP(C358,[1]apoio_Prec_Folha!$A:$S,7,FALSE))*AE358</f>
        <v>394.4515154171296</v>
      </c>
      <c r="AG358" s="40">
        <f t="shared" si="200"/>
        <v>5477.89</v>
      </c>
      <c r="AH358" s="43">
        <f t="shared" si="201"/>
        <v>6388.2</v>
      </c>
      <c r="AI358" s="43">
        <f t="shared" si="202"/>
        <v>12776.4</v>
      </c>
      <c r="AJ358" s="43">
        <f t="shared" si="203"/>
        <v>766584</v>
      </c>
      <c r="AK358" s="44">
        <f>VLOOKUP(D358,[1]apoio_Preços_MGS!$A$6:$AN$238,39,FALSE)</f>
        <v>200.00000000000003</v>
      </c>
      <c r="AL358" s="44">
        <f>IF(J358="demais municípios",VLOOKUP(D358,[1]apoio_Preços_MGS!$A$6:$AN$238,39,FALSE),0)</f>
        <v>0</v>
      </c>
      <c r="AM358" s="44">
        <f>TRUNC(ROUND(($I358)/(1-($I358)),5)*VLOOKUP(D358,[1]apoio_Preços_MGS!$A$6:$AN$238,39,FALSE)+VLOOKUP(D358,[1]apoio_Preços_MGS!$A$6:$AN$238,39,FALSE),2)</f>
        <v>210.52</v>
      </c>
      <c r="AN358" s="45">
        <f t="shared" si="186"/>
        <v>421.04</v>
      </c>
      <c r="AO358" s="44">
        <f>VLOOKUP(D358,[1]apoio_Preços_MGS!$A$6:$AN$238,40,FALSE)</f>
        <v>551.58000000000004</v>
      </c>
      <c r="AP358" s="44">
        <f>IF(J358="demais municípios",VLOOKUP(D358,[1]apoio_Preços_MGS!$A$6:$AN$238,40,FALSE),0)</f>
        <v>0</v>
      </c>
      <c r="AQ358" s="44">
        <f>TRUNC(ROUND(($I358)/(1-($I358)),5)*VLOOKUP(D358,[1]apoio_Preços_MGS!$A$6:$AN$238,40,FALSE)+VLOOKUP(D358,[1]apoio_Preços_MGS!$A$6:$AN$238,40,FALSE),2)</f>
        <v>580.6</v>
      </c>
      <c r="AR358" s="45">
        <f t="shared" si="187"/>
        <v>1161.2</v>
      </c>
      <c r="AS358" s="45">
        <f t="shared" si="188"/>
        <v>1582.24</v>
      </c>
      <c r="AT358" s="45">
        <f t="shared" si="189"/>
        <v>94934.399999999994</v>
      </c>
      <c r="AU358" s="62"/>
      <c r="AV358" s="46"/>
      <c r="AW358" s="47"/>
      <c r="AX358" s="48"/>
      <c r="AY358" s="49"/>
      <c r="BA358" s="48"/>
    </row>
    <row r="359" spans="1:53" ht="19.5" customHeight="1" x14ac:dyDescent="0.25">
      <c r="A359" s="33" t="str">
        <f t="shared" si="184"/>
        <v>146218440,05</v>
      </c>
      <c r="B359" s="33" t="str">
        <f t="shared" si="185"/>
        <v>19030,05</v>
      </c>
      <c r="C359" s="34" t="str">
        <f>VLOOKUP(D359,[1]apoio_Preços_MGS!$A$6:$B$238,2,FALSE)</f>
        <v>MECÂNICO DE MÁQUINAS E EQUIPAMENTOS</v>
      </c>
      <c r="D359" s="35">
        <v>1903</v>
      </c>
      <c r="E359" s="33" t="str">
        <f>VLOOKUP(D359,[1]apoio_Preços_MGS!$A$6:$F$238,6,FALSE)</f>
        <v>MECÂNICO DE MÁQUINAS E EQUIPAMENTOS - 12x36 NOTURNO - 44H</v>
      </c>
      <c r="F359" s="36">
        <f>IFERROR(VLOOKUP(D359,'[1]apoio_cód catmas'!$B$2:$C$863,2,FALSE),0)</f>
        <v>146218</v>
      </c>
      <c r="G359" s="33" t="str">
        <f>IF(H359="N/A",VLOOKUP(F359&amp;40,'[1]apoio_cód catmas'!$A$1:$G$233,4,FALSE),VLOOKUP(F359&amp;H359,'[1]apoio_cód catmas'!$A$1:$G$233,4,FALSE))</f>
        <v>MECANICO DE MAQUINAS E EQUIPAMENTOS - 12x36 NOTURNO - 44H</v>
      </c>
      <c r="H359" s="36">
        <v>44</v>
      </c>
      <c r="I359" s="37">
        <v>0.05</v>
      </c>
      <c r="J359" s="38" t="s">
        <v>47</v>
      </c>
      <c r="K359" s="39">
        <v>2</v>
      </c>
      <c r="L359" s="39">
        <f t="shared" si="196"/>
        <v>120</v>
      </c>
      <c r="M359" s="40">
        <f>VLOOKUP(D359,[1]apoio_Preços_MGS!$A$6:$AN$238,18,FALSE)</f>
        <v>2616.6144999999997</v>
      </c>
      <c r="N359" s="40">
        <f>VLOOKUP(D359,[1]apoio_Preços_MGS!$A$6:$AN$238,19,FALSE)</f>
        <v>0</v>
      </c>
      <c r="O359" s="40">
        <f>VLOOKUP(D359,[1]apoio_Preços_MGS!$A$6:$AN$238,20,FALSE)</f>
        <v>609.56509592690338</v>
      </c>
      <c r="P359" s="40">
        <f>VLOOKUP(D359,[1]apoio_Preços_MGS!$A$6:$AN$238,21,FALSE)</f>
        <v>13.305870191049905</v>
      </c>
      <c r="Q359" s="40">
        <f>VLOOKUP(D359,[1]apoio_Preços_MGS!$A$6:$AN$238,22,FALSE)</f>
        <v>49.896998247333173</v>
      </c>
      <c r="R359" s="40">
        <f>VLOOKUP(D359,[1]apoio_Preços_MGS!$A$6:$AN$238,23,FALSE)</f>
        <v>0</v>
      </c>
      <c r="S359" s="40">
        <f>VLOOKUP(D359,[1]apoio_Preços_MGS!$A$6:$AN$238,24,FALSE)</f>
        <v>0</v>
      </c>
      <c r="T359" s="40">
        <f>VLOOKUP(D359,[1]apoio_Preços_MGS!$A$6:$AN$238,25,FALSE)</f>
        <v>3.6341868055555548</v>
      </c>
      <c r="U359" s="40">
        <f t="shared" si="171"/>
        <v>3293.0166511708417</v>
      </c>
      <c r="V359" s="41">
        <v>0.81799999999999995</v>
      </c>
      <c r="W359" s="40">
        <f t="shared" si="172"/>
        <v>2693.6876206577485</v>
      </c>
      <c r="X359" s="40">
        <f>VLOOKUP(D359,[1]apoio_Preços_MGS!$A$6:$AN$238,29,FALSE)</f>
        <v>20.923636363636362</v>
      </c>
      <c r="Y359" s="40">
        <f>VLOOKUP(D359,[1]apoio_Preços_MGS!$A$6:$AN$238,30,FALSE)</f>
        <v>29.209999999999997</v>
      </c>
      <c r="Z359" s="40">
        <f t="shared" si="199"/>
        <v>50.133636363636356</v>
      </c>
      <c r="AA359" s="40">
        <f>VLOOKUP(D359,[1]apoio_Preços_MGS!$A$6:$AN$238,32,FALSE)</f>
        <v>5.0238998399999986</v>
      </c>
      <c r="AB359" s="40">
        <f>VLOOKUP(D359,[1]apoio_Preços_MGS!$A$6:$AN$238,33,FALSE)</f>
        <v>264.67200000000003</v>
      </c>
      <c r="AC359" s="41">
        <f>VLOOKUP(D359,[1]apoio_Preços_MGS!$A$6:$AN$238,34,FALSE)</f>
        <v>0</v>
      </c>
      <c r="AD359" s="40">
        <f>(U359+W359+Z359+AB359+AA359+VLOOKUP(C359,[1]apoio_Prec_Folha!$A:$S,7,FALSE))*AC359</f>
        <v>0</v>
      </c>
      <c r="AE359" s="42">
        <f>VLOOKUP(D359,[1]apoio_Preços_MGS!$A$6:$AN$238,36,FALSE)</f>
        <v>7.0000000000000007E-2</v>
      </c>
      <c r="AF359" s="40">
        <f>(U359+W359+Z359+AB359+AD359+AA359+VLOOKUP(C359,[1]apoio_Prec_Folha!$A:$S,7,FALSE))*AE359</f>
        <v>480.06796656225595</v>
      </c>
      <c r="AG359" s="40">
        <f t="shared" si="200"/>
        <v>6786.6</v>
      </c>
      <c r="AH359" s="43">
        <f t="shared" si="201"/>
        <v>7914.39</v>
      </c>
      <c r="AI359" s="43">
        <f t="shared" si="202"/>
        <v>15828.78</v>
      </c>
      <c r="AJ359" s="43">
        <f t="shared" si="203"/>
        <v>949726.8</v>
      </c>
      <c r="AK359" s="44">
        <f>VLOOKUP(D359,[1]apoio_Preços_MGS!$A$6:$AN$238,39,FALSE)</f>
        <v>200.00000000000003</v>
      </c>
      <c r="AL359" s="44">
        <f>IF(J359="demais municípios",VLOOKUP(D359,[1]apoio_Preços_MGS!$A$6:$AN$238,39,FALSE),0)</f>
        <v>0</v>
      </c>
      <c r="AM359" s="44">
        <f>TRUNC(ROUND(($I359)/(1-($I359)),5)*VLOOKUP(D359,[1]apoio_Preços_MGS!$A$6:$AN$238,39,FALSE)+VLOOKUP(D359,[1]apoio_Preços_MGS!$A$6:$AN$238,39,FALSE),2)</f>
        <v>210.52</v>
      </c>
      <c r="AN359" s="45">
        <f t="shared" si="186"/>
        <v>421.04</v>
      </c>
      <c r="AO359" s="44">
        <f>VLOOKUP(D359,[1]apoio_Preços_MGS!$A$6:$AN$238,40,FALSE)</f>
        <v>551.58000000000004</v>
      </c>
      <c r="AP359" s="44">
        <f>IF(J359="demais municípios",VLOOKUP(D359,[1]apoio_Preços_MGS!$A$6:$AN$238,40,FALSE),0)</f>
        <v>0</v>
      </c>
      <c r="AQ359" s="44">
        <f>TRUNC(ROUND(($I359)/(1-($I359)),5)*VLOOKUP(D359,[1]apoio_Preços_MGS!$A$6:$AN$238,40,FALSE)+VLOOKUP(D359,[1]apoio_Preços_MGS!$A$6:$AN$238,40,FALSE),2)</f>
        <v>580.6</v>
      </c>
      <c r="AR359" s="45">
        <f t="shared" si="187"/>
        <v>1161.2</v>
      </c>
      <c r="AS359" s="45">
        <f t="shared" si="188"/>
        <v>1582.24</v>
      </c>
      <c r="AT359" s="45">
        <f t="shared" si="189"/>
        <v>94934.399999999994</v>
      </c>
      <c r="AU359" s="62"/>
      <c r="AV359" s="46"/>
      <c r="AW359" s="47"/>
      <c r="AX359" s="48"/>
      <c r="AY359" s="49"/>
      <c r="BA359" s="48"/>
    </row>
    <row r="360" spans="1:53" ht="19.5" customHeight="1" x14ac:dyDescent="0.25">
      <c r="A360" s="33" t="str">
        <f t="shared" si="184"/>
        <v>63509400,05</v>
      </c>
      <c r="B360" s="33" t="str">
        <f t="shared" si="185"/>
        <v>1500,05</v>
      </c>
      <c r="C360" s="34" t="str">
        <f>VLOOKUP(D360,[1]apoio_Preços_MGS!$A$6:$B$238,2,FALSE)</f>
        <v>MECÂNICO DE MÁQUINAS E EQUIPAMENTOS</v>
      </c>
      <c r="D360" s="35">
        <v>150</v>
      </c>
      <c r="E360" s="33" t="str">
        <f>VLOOKUP(D360,[1]apoio_Preços_MGS!$A$6:$F$238,6,FALSE)</f>
        <v>MECÂNICO DE MÁQUINAS E EQUIPAMENTOS - (PERIC.) - DIARISTA DIURNO - 40H</v>
      </c>
      <c r="F360" s="36">
        <f>IFERROR(VLOOKUP(D360,'[1]apoio_cód catmas'!$B$2:$C$863,2,FALSE),0)</f>
        <v>63509</v>
      </c>
      <c r="G360" s="33" t="str">
        <f>IF(H360="N/A",VLOOKUP(F360&amp;40,'[1]apoio_cód catmas'!$A$1:$G$233,4,FALSE),VLOOKUP(F360&amp;H360,'[1]apoio_cód catmas'!$A$1:$G$233,4,FALSE))</f>
        <v>MECANICO DE MAQUINAS E EQUIPAMENTOS (PERICULOSIDADE) - 40H</v>
      </c>
      <c r="H360" s="36">
        <v>40</v>
      </c>
      <c r="I360" s="37">
        <v>0.05</v>
      </c>
      <c r="J360" s="38" t="s">
        <v>47</v>
      </c>
      <c r="K360" s="39">
        <v>1</v>
      </c>
      <c r="L360" s="39">
        <f t="shared" si="196"/>
        <v>60</v>
      </c>
      <c r="M360" s="40">
        <f>VLOOKUP(D360,[1]apoio_Preços_MGS!$A$6:$AN$238,18,FALSE)</f>
        <v>2378.7404545454542</v>
      </c>
      <c r="N360" s="40">
        <f>VLOOKUP(D360,[1]apoio_Preços_MGS!$A$6:$AN$238,19,FALSE)</f>
        <v>713.62213636363629</v>
      </c>
      <c r="O360" s="40">
        <f>VLOOKUP(D360,[1]apoio_Preços_MGS!$A$6:$AN$238,20,FALSE)</f>
        <v>756.41486903656653</v>
      </c>
      <c r="P360" s="40">
        <f>VLOOKUP(D360,[1]apoio_Preços_MGS!$A$6:$AN$238,21,FALSE)</f>
        <v>16.511375282530111</v>
      </c>
      <c r="Q360" s="40">
        <f>VLOOKUP(D360,[1]apoio_Preços_MGS!$A$6:$AN$238,22,FALSE)</f>
        <v>61.91763873419071</v>
      </c>
      <c r="R360" s="40">
        <f>VLOOKUP(D360,[1]apoio_Preços_MGS!$A$6:$AN$238,23,FALSE)</f>
        <v>0</v>
      </c>
      <c r="S360" s="40">
        <f>VLOOKUP(D360,[1]apoio_Preços_MGS!$A$6:$AN$238,24,FALSE)</f>
        <v>0</v>
      </c>
      <c r="T360" s="40">
        <f>VLOOKUP(D360,[1]apoio_Preços_MGS!$A$6:$AN$238,25,FALSE)</f>
        <v>0</v>
      </c>
      <c r="U360" s="40">
        <f t="shared" si="171"/>
        <v>3927.2064739623779</v>
      </c>
      <c r="V360" s="41">
        <v>0.81799999999999995</v>
      </c>
      <c r="W360" s="40">
        <f t="shared" si="172"/>
        <v>3212.4548957012248</v>
      </c>
      <c r="X360" s="40">
        <f>VLOOKUP(D360,[1]apoio_Preços_MGS!$A$6:$AN$238,29,FALSE)</f>
        <v>20.923636363636362</v>
      </c>
      <c r="Y360" s="40">
        <f>VLOOKUP(D360,[1]apoio_Preços_MGS!$A$6:$AN$238,30,FALSE)</f>
        <v>29.209999999999997</v>
      </c>
      <c r="Z360" s="40">
        <f t="shared" si="199"/>
        <v>50.133636363636356</v>
      </c>
      <c r="AA360" s="40">
        <f>VLOOKUP(D360,[1]apoio_Preços_MGS!$A$6:$AN$238,32,FALSE)</f>
        <v>4.5671816727272718</v>
      </c>
      <c r="AB360" s="40">
        <f>VLOOKUP(D360,[1]apoio_Preços_MGS!$A$6:$AN$238,33,FALSE)</f>
        <v>274.18715151515153</v>
      </c>
      <c r="AC360" s="41">
        <f>VLOOKUP(D360,[1]apoio_Preços_MGS!$A$6:$AN$238,34,FALSE)</f>
        <v>0</v>
      </c>
      <c r="AD360" s="40">
        <f>(U360+W360+Z360+AB360+AA360+VLOOKUP(C360,[1]apoio_Prec_Folha!$A:$S,7,FALSE))*AC360</f>
        <v>0</v>
      </c>
      <c r="AE360" s="42">
        <f>VLOOKUP(D360,[1]apoio_Preços_MGS!$A$6:$AN$238,36,FALSE)</f>
        <v>7.0000000000000007E-2</v>
      </c>
      <c r="AF360" s="40">
        <f>(U360+W360+Z360+AB360+AD360+AA360+VLOOKUP(C360,[1]apoio_Prec_Folha!$A:$S,7,FALSE))*AE360</f>
        <v>561.40905374505837</v>
      </c>
      <c r="AG360" s="40">
        <f t="shared" si="200"/>
        <v>8029.95</v>
      </c>
      <c r="AH360" s="43">
        <f t="shared" si="201"/>
        <v>9364.36</v>
      </c>
      <c r="AI360" s="43">
        <f t="shared" si="202"/>
        <v>9364.36</v>
      </c>
      <c r="AJ360" s="43">
        <f t="shared" si="203"/>
        <v>561861.60000000009</v>
      </c>
      <c r="AK360" s="44">
        <f>VLOOKUP(D360,[1]apoio_Preços_MGS!$A$6:$AN$238,39,FALSE)</f>
        <v>181.81818181818184</v>
      </c>
      <c r="AL360" s="44">
        <f>IF(J360="demais municípios",VLOOKUP(D360,[1]apoio_Preços_MGS!$A$6:$AN$238,39,FALSE),0)</f>
        <v>0</v>
      </c>
      <c r="AM360" s="44">
        <f>TRUNC(ROUND(($I360)/(1-($I360)),5)*VLOOKUP(D360,[1]apoio_Preços_MGS!$A$6:$AN$238,39,FALSE)+VLOOKUP(D360,[1]apoio_Preços_MGS!$A$6:$AN$238,39,FALSE),2)</f>
        <v>191.38</v>
      </c>
      <c r="AN360" s="45">
        <f t="shared" si="186"/>
        <v>191.38</v>
      </c>
      <c r="AO360" s="44">
        <f>VLOOKUP(D360,[1]apoio_Preços_MGS!$A$6:$AN$238,40,FALSE)</f>
        <v>551.58000000000004</v>
      </c>
      <c r="AP360" s="44">
        <f>IF(J360="demais municípios",VLOOKUP(D360,[1]apoio_Preços_MGS!$A$6:$AN$238,40,FALSE),0)</f>
        <v>0</v>
      </c>
      <c r="AQ360" s="44">
        <f>TRUNC(ROUND(($I360)/(1-($I360)),5)*VLOOKUP(D360,[1]apoio_Preços_MGS!$A$6:$AN$238,40,FALSE)+VLOOKUP(D360,[1]apoio_Preços_MGS!$A$6:$AN$238,40,FALSE),2)</f>
        <v>580.6</v>
      </c>
      <c r="AR360" s="45">
        <f t="shared" si="187"/>
        <v>580.6</v>
      </c>
      <c r="AS360" s="45">
        <f t="shared" si="188"/>
        <v>771.98</v>
      </c>
      <c r="AT360" s="45">
        <f t="shared" si="189"/>
        <v>46318.8</v>
      </c>
      <c r="AU360" s="62"/>
      <c r="AV360" s="46"/>
      <c r="AW360" s="47"/>
      <c r="AX360" s="48"/>
      <c r="AY360" s="49"/>
      <c r="BA360" s="48"/>
    </row>
    <row r="361" spans="1:53" ht="19.5" customHeight="1" x14ac:dyDescent="0.25">
      <c r="A361" s="33" t="str">
        <f t="shared" si="184"/>
        <v>63355440,02</v>
      </c>
      <c r="B361" s="33" t="str">
        <f t="shared" si="185"/>
        <v>930,02</v>
      </c>
      <c r="C361" s="34" t="str">
        <f>VLOOKUP(D361,[1]apoio_Preços_MGS!$A$6:$B$238,2,FALSE)</f>
        <v>MOTOCICLISTA</v>
      </c>
      <c r="D361" s="35">
        <v>93</v>
      </c>
      <c r="E361" s="33" t="str">
        <f>VLOOKUP(D361,[1]apoio_Preços_MGS!$A$6:$F$238,6,FALSE)</f>
        <v>MOTOCICLISTA - (PERIC.) - DIARISTA DIURNO - 44H</v>
      </c>
      <c r="F361" s="36">
        <f>IFERROR(VLOOKUP(D361,'[1]apoio_cód catmas'!$B$2:$C$863,2,FALSE),0)</f>
        <v>63355</v>
      </c>
      <c r="G361" s="33" t="str">
        <f>IF(H361="N/A",VLOOKUP(F361&amp;40,'[1]apoio_cód catmas'!$A$1:$G$233,4,FALSE),VLOOKUP(F361&amp;H361,'[1]apoio_cód catmas'!$A$1:$G$233,4,FALSE))</f>
        <v>MOTOCICLISTA (PERICULOSIDADE) - 44H</v>
      </c>
      <c r="H361" s="36">
        <v>44</v>
      </c>
      <c r="I361" s="37">
        <v>0.02</v>
      </c>
      <c r="J361" s="38" t="s">
        <v>46</v>
      </c>
      <c r="K361" s="39">
        <v>1</v>
      </c>
      <c r="L361" s="39">
        <f t="shared" si="196"/>
        <v>60</v>
      </c>
      <c r="M361" s="40">
        <f>VLOOKUP(D361,[1]apoio_Preços_MGS!$A$6:$AN$238,18,FALSE)</f>
        <v>2562.2943249999998</v>
      </c>
      <c r="N361" s="40">
        <f>VLOOKUP(D361,[1]apoio_Preços_MGS!$A$6:$AN$238,19,FALSE)</f>
        <v>768.68829749999998</v>
      </c>
      <c r="O361" s="40">
        <f>VLOOKUP(D361,[1]apoio_Preços_MGS!$A$6:$AN$238,20,FALSE)</f>
        <v>0</v>
      </c>
      <c r="P361" s="40">
        <f>VLOOKUP(D361,[1]apoio_Preços_MGS!$A$6:$AN$238,21,FALSE)</f>
        <v>0</v>
      </c>
      <c r="Q361" s="40">
        <f>VLOOKUP(D361,[1]apoio_Preços_MGS!$A$6:$AN$238,22,FALSE)</f>
        <v>0</v>
      </c>
      <c r="R361" s="40">
        <f>VLOOKUP(D361,[1]apoio_Preços_MGS!$A$6:$AN$238,23,FALSE)</f>
        <v>0</v>
      </c>
      <c r="S361" s="40">
        <f>VLOOKUP(D361,[1]apoio_Preços_MGS!$A$6:$AN$238,24,FALSE)</f>
        <v>0</v>
      </c>
      <c r="T361" s="40">
        <f>VLOOKUP(D361,[1]apoio_Preços_MGS!$A$6:$AN$238,25,FALSE)</f>
        <v>0</v>
      </c>
      <c r="U361" s="40">
        <f t="shared" si="171"/>
        <v>3330.9826224999997</v>
      </c>
      <c r="V361" s="41">
        <v>0.81799999999999995</v>
      </c>
      <c r="W361" s="40">
        <f t="shared" si="172"/>
        <v>2724.7437852049998</v>
      </c>
      <c r="X361" s="40">
        <f>VLOOKUP(D361,[1]apoio_Preços_MGS!$A$6:$AN$238,29,FALSE)</f>
        <v>27.513333333333332</v>
      </c>
      <c r="Y361" s="40">
        <f>VLOOKUP(D361,[1]apoio_Preços_MGS!$A$6:$AN$238,30,FALSE)</f>
        <v>51.851515151515152</v>
      </c>
      <c r="Z361" s="40">
        <f t="shared" si="199"/>
        <v>79.36484848484848</v>
      </c>
      <c r="AA361" s="40">
        <f>VLOOKUP(D361,[1]apoio_Preços_MGS!$A$6:$AN$238,32,FALSE)</f>
        <v>4.9196051039999995</v>
      </c>
      <c r="AB361" s="40">
        <f>VLOOKUP(D361,[1]apoio_Preços_MGS!$A$6:$AN$238,33,FALSE)</f>
        <v>241.12</v>
      </c>
      <c r="AC361" s="41">
        <f>VLOOKUP(D361,[1]apoio_Preços_MGS!$A$6:$AN$238,34,FALSE)</f>
        <v>3.2974807684518895E-2</v>
      </c>
      <c r="AD361" s="40">
        <f>(U361+W361+Z361+AB361+AA361+VLOOKUP(C361,[1]apoio_Prec_Folha!$A:$S,7,FALSE))*AC361</f>
        <v>227.9258560933157</v>
      </c>
      <c r="AE361" s="42">
        <f>VLOOKUP(D361,[1]apoio_Preços_MGS!$A$6:$AN$238,36,FALSE)</f>
        <v>7.0000000000000007E-2</v>
      </c>
      <c r="AF361" s="40">
        <f>(U361+W361+Z361+AB361+AD361+AA361+VLOOKUP(C361,[1]apoio_Prec_Folha!$A:$S,7,FALSE))*AE361</f>
        <v>499.80327021710144</v>
      </c>
      <c r="AG361" s="40">
        <f t="shared" si="200"/>
        <v>7108.85</v>
      </c>
      <c r="AH361" s="43">
        <f t="shared" si="201"/>
        <v>8009.96</v>
      </c>
      <c r="AI361" s="43">
        <f t="shared" si="202"/>
        <v>8009.96</v>
      </c>
      <c r="AJ361" s="43">
        <f t="shared" si="203"/>
        <v>480597.6</v>
      </c>
      <c r="AK361" s="44">
        <f>VLOOKUP(D361,[1]apoio_Preços_MGS!$A$6:$AN$238,39,FALSE)</f>
        <v>200.00000000000003</v>
      </c>
      <c r="AL361" s="44">
        <f>IF(J361="demais municípios",VLOOKUP(D361,[1]apoio_Preços_MGS!$A$6:$AN$238,39,FALSE),0)</f>
        <v>200.00000000000003</v>
      </c>
      <c r="AM361" s="44">
        <v>0</v>
      </c>
      <c r="AN361" s="45">
        <f t="shared" ref="AN361:AN363" si="206">AK361*K361</f>
        <v>200.00000000000003</v>
      </c>
      <c r="AO361" s="44">
        <f>VLOOKUP(D361,[1]apoio_Preços_MGS!$A$6:$AN$238,40,FALSE)</f>
        <v>530.99</v>
      </c>
      <c r="AP361" s="44">
        <f>IF(J361="demais municípios",VLOOKUP(D361,[1]apoio_Preços_MGS!$A$6:$AN$238,40,FALSE),0)</f>
        <v>530.99</v>
      </c>
      <c r="AQ361" s="44">
        <v>0</v>
      </c>
      <c r="AR361" s="45">
        <f t="shared" ref="AR361:AR363" si="207">AO361*K361</f>
        <v>530.99</v>
      </c>
      <c r="AS361" s="45">
        <f t="shared" si="188"/>
        <v>730.99</v>
      </c>
      <c r="AT361" s="45">
        <f t="shared" si="189"/>
        <v>43859.4</v>
      </c>
      <c r="AU361" s="62"/>
      <c r="AV361" s="46"/>
      <c r="AW361" s="47"/>
      <c r="AX361" s="48"/>
      <c r="AY361" s="49"/>
      <c r="BA361" s="48"/>
    </row>
    <row r="362" spans="1:53" ht="19.5" customHeight="1" x14ac:dyDescent="0.25">
      <c r="A362" s="33" t="str">
        <f t="shared" si="184"/>
        <v>63355440,03</v>
      </c>
      <c r="B362" s="33" t="str">
        <f t="shared" si="185"/>
        <v>930,03</v>
      </c>
      <c r="C362" s="34" t="str">
        <f>VLOOKUP(D362,[1]apoio_Preços_MGS!$A$6:$B$238,2,FALSE)</f>
        <v>MOTOCICLISTA</v>
      </c>
      <c r="D362" s="35">
        <v>93</v>
      </c>
      <c r="E362" s="33" t="str">
        <f>VLOOKUP(D362,[1]apoio_Preços_MGS!$A$6:$F$238,6,FALSE)</f>
        <v>MOTOCICLISTA - (PERIC.) - DIARISTA DIURNO - 44H</v>
      </c>
      <c r="F362" s="36">
        <f>IFERROR(VLOOKUP(D362,'[1]apoio_cód catmas'!$B$2:$C$863,2,FALSE),0)</f>
        <v>63355</v>
      </c>
      <c r="G362" s="33" t="str">
        <f>IF(H362="N/A",VLOOKUP(F362&amp;40,'[1]apoio_cód catmas'!$A$1:$G$233,4,FALSE),VLOOKUP(F362&amp;H362,'[1]apoio_cód catmas'!$A$1:$G$233,4,FALSE))</f>
        <v>MOTOCICLISTA (PERICULOSIDADE) - 44H</v>
      </c>
      <c r="H362" s="36">
        <v>44</v>
      </c>
      <c r="I362" s="37">
        <v>0.03</v>
      </c>
      <c r="J362" s="38" t="s">
        <v>46</v>
      </c>
      <c r="K362" s="39">
        <v>2</v>
      </c>
      <c r="L362" s="39">
        <f t="shared" si="196"/>
        <v>120</v>
      </c>
      <c r="M362" s="40">
        <f>VLOOKUP(D362,[1]apoio_Preços_MGS!$A$6:$AN$238,18,FALSE)</f>
        <v>2562.2943249999998</v>
      </c>
      <c r="N362" s="40">
        <f>VLOOKUP(D362,[1]apoio_Preços_MGS!$A$6:$AN$238,19,FALSE)</f>
        <v>768.68829749999998</v>
      </c>
      <c r="O362" s="40">
        <f>VLOOKUP(D362,[1]apoio_Preços_MGS!$A$6:$AN$238,20,FALSE)</f>
        <v>0</v>
      </c>
      <c r="P362" s="40">
        <f>VLOOKUP(D362,[1]apoio_Preços_MGS!$A$6:$AN$238,21,FALSE)</f>
        <v>0</v>
      </c>
      <c r="Q362" s="40">
        <f>VLOOKUP(D362,[1]apoio_Preços_MGS!$A$6:$AN$238,22,FALSE)</f>
        <v>0</v>
      </c>
      <c r="R362" s="40">
        <f>VLOOKUP(D362,[1]apoio_Preços_MGS!$A$6:$AN$238,23,FALSE)</f>
        <v>0</v>
      </c>
      <c r="S362" s="40">
        <f>VLOOKUP(D362,[1]apoio_Preços_MGS!$A$6:$AN$238,24,FALSE)</f>
        <v>0</v>
      </c>
      <c r="T362" s="40">
        <f>VLOOKUP(D362,[1]apoio_Preços_MGS!$A$6:$AN$238,25,FALSE)</f>
        <v>0</v>
      </c>
      <c r="U362" s="40">
        <f t="shared" si="171"/>
        <v>3330.9826224999997</v>
      </c>
      <c r="V362" s="41">
        <v>0.81799999999999995</v>
      </c>
      <c r="W362" s="40">
        <f t="shared" si="172"/>
        <v>2724.7437852049998</v>
      </c>
      <c r="X362" s="40">
        <f>VLOOKUP(D362,[1]apoio_Preços_MGS!$A$6:$AN$238,29,FALSE)</f>
        <v>27.513333333333332</v>
      </c>
      <c r="Y362" s="40">
        <f>VLOOKUP(D362,[1]apoio_Preços_MGS!$A$6:$AN$238,30,FALSE)</f>
        <v>51.851515151515152</v>
      </c>
      <c r="Z362" s="40">
        <f t="shared" si="199"/>
        <v>79.36484848484848</v>
      </c>
      <c r="AA362" s="40">
        <f>VLOOKUP(D362,[1]apoio_Preços_MGS!$A$6:$AN$238,32,FALSE)</f>
        <v>4.9196051039999995</v>
      </c>
      <c r="AB362" s="40">
        <f>VLOOKUP(D362,[1]apoio_Preços_MGS!$A$6:$AN$238,33,FALSE)</f>
        <v>241.12</v>
      </c>
      <c r="AC362" s="41">
        <f>VLOOKUP(D362,[1]apoio_Preços_MGS!$A$6:$AN$238,34,FALSE)</f>
        <v>3.2974807684518895E-2</v>
      </c>
      <c r="AD362" s="40">
        <f>(U362+W362+Z362+AB362+AA362+VLOOKUP(C362,[1]apoio_Prec_Folha!$A:$S,7,FALSE))*AC362</f>
        <v>227.9258560933157</v>
      </c>
      <c r="AE362" s="42">
        <f>VLOOKUP(D362,[1]apoio_Preços_MGS!$A$6:$AN$238,36,FALSE)</f>
        <v>7.0000000000000007E-2</v>
      </c>
      <c r="AF362" s="40">
        <f>(U362+W362+Z362+AB362+AD362+AA362+VLOOKUP(C362,[1]apoio_Prec_Folha!$A:$S,7,FALSE))*AE362</f>
        <v>499.80327021710144</v>
      </c>
      <c r="AG362" s="40">
        <f t="shared" si="200"/>
        <v>7108.85</v>
      </c>
      <c r="AH362" s="43">
        <f t="shared" si="201"/>
        <v>8101.24</v>
      </c>
      <c r="AI362" s="43">
        <f t="shared" si="202"/>
        <v>16202.48</v>
      </c>
      <c r="AJ362" s="43">
        <f t="shared" si="203"/>
        <v>972148.79999999993</v>
      </c>
      <c r="AK362" s="44">
        <f>VLOOKUP(D362,[1]apoio_Preços_MGS!$A$6:$AN$238,39,FALSE)</f>
        <v>200.00000000000003</v>
      </c>
      <c r="AL362" s="44">
        <f>IF(J362="demais municípios",VLOOKUP(D362,[1]apoio_Preços_MGS!$A$6:$AN$238,39,FALSE),0)</f>
        <v>200.00000000000003</v>
      </c>
      <c r="AM362" s="44">
        <v>0</v>
      </c>
      <c r="AN362" s="45">
        <f t="shared" si="206"/>
        <v>400.00000000000006</v>
      </c>
      <c r="AO362" s="44">
        <f>VLOOKUP(D362,[1]apoio_Preços_MGS!$A$6:$AN$238,40,FALSE)</f>
        <v>530.99</v>
      </c>
      <c r="AP362" s="44">
        <f>IF(J362="demais municípios",VLOOKUP(D362,[1]apoio_Preços_MGS!$A$6:$AN$238,40,FALSE),0)</f>
        <v>530.99</v>
      </c>
      <c r="AQ362" s="44">
        <v>0</v>
      </c>
      <c r="AR362" s="45">
        <f t="shared" si="207"/>
        <v>1061.98</v>
      </c>
      <c r="AS362" s="45">
        <f t="shared" si="188"/>
        <v>1461.98</v>
      </c>
      <c r="AT362" s="45">
        <f t="shared" si="189"/>
        <v>87718.8</v>
      </c>
      <c r="AU362" s="62"/>
      <c r="AV362" s="46"/>
      <c r="AW362" s="47"/>
      <c r="AX362" s="48"/>
      <c r="AY362" s="49"/>
      <c r="BA362" s="48"/>
    </row>
    <row r="363" spans="1:53" ht="19.5" customHeight="1" x14ac:dyDescent="0.25">
      <c r="A363" s="33" t="str">
        <f t="shared" si="184"/>
        <v>63355440,04</v>
      </c>
      <c r="B363" s="33" t="str">
        <f t="shared" si="185"/>
        <v>930,04</v>
      </c>
      <c r="C363" s="34" t="str">
        <f>VLOOKUP(D363,[1]apoio_Preços_MGS!$A$6:$B$238,2,FALSE)</f>
        <v>MOTOCICLISTA</v>
      </c>
      <c r="D363" s="35">
        <v>93</v>
      </c>
      <c r="E363" s="33" t="str">
        <f>VLOOKUP(D363,[1]apoio_Preços_MGS!$A$6:$F$238,6,FALSE)</f>
        <v>MOTOCICLISTA - (PERIC.) - DIARISTA DIURNO - 44H</v>
      </c>
      <c r="F363" s="36">
        <f>IFERROR(VLOOKUP(D363,'[1]apoio_cód catmas'!$B$2:$C$863,2,FALSE),0)</f>
        <v>63355</v>
      </c>
      <c r="G363" s="33" t="str">
        <f>IF(H363="N/A",VLOOKUP(F363&amp;40,'[1]apoio_cód catmas'!$A$1:$G$233,4,FALSE),VLOOKUP(F363&amp;H363,'[1]apoio_cód catmas'!$A$1:$G$233,4,FALSE))</f>
        <v>MOTOCICLISTA (PERICULOSIDADE) - 44H</v>
      </c>
      <c r="H363" s="36">
        <v>44</v>
      </c>
      <c r="I363" s="37">
        <v>0.04</v>
      </c>
      <c r="J363" s="38" t="s">
        <v>46</v>
      </c>
      <c r="K363" s="39">
        <v>1</v>
      </c>
      <c r="L363" s="39">
        <f t="shared" si="196"/>
        <v>60</v>
      </c>
      <c r="M363" s="40">
        <f>VLOOKUP(D363,[1]apoio_Preços_MGS!$A$6:$AN$238,18,FALSE)</f>
        <v>2562.2943249999998</v>
      </c>
      <c r="N363" s="40">
        <f>VLOOKUP(D363,[1]apoio_Preços_MGS!$A$6:$AN$238,19,FALSE)</f>
        <v>768.68829749999998</v>
      </c>
      <c r="O363" s="40">
        <f>VLOOKUP(D363,[1]apoio_Preços_MGS!$A$6:$AN$238,20,FALSE)</f>
        <v>0</v>
      </c>
      <c r="P363" s="40">
        <f>VLOOKUP(D363,[1]apoio_Preços_MGS!$A$6:$AN$238,21,FALSE)</f>
        <v>0</v>
      </c>
      <c r="Q363" s="40">
        <f>VLOOKUP(D363,[1]apoio_Preços_MGS!$A$6:$AN$238,22,FALSE)</f>
        <v>0</v>
      </c>
      <c r="R363" s="40">
        <f>VLOOKUP(D363,[1]apoio_Preços_MGS!$A$6:$AN$238,23,FALSE)</f>
        <v>0</v>
      </c>
      <c r="S363" s="40">
        <f>VLOOKUP(D363,[1]apoio_Preços_MGS!$A$6:$AN$238,24,FALSE)</f>
        <v>0</v>
      </c>
      <c r="T363" s="40">
        <f>VLOOKUP(D363,[1]apoio_Preços_MGS!$A$6:$AN$238,25,FALSE)</f>
        <v>0</v>
      </c>
      <c r="U363" s="40">
        <f t="shared" si="171"/>
        <v>3330.9826224999997</v>
      </c>
      <c r="V363" s="41">
        <v>0.81799999999999995</v>
      </c>
      <c r="W363" s="40">
        <f t="shared" si="172"/>
        <v>2724.7437852049998</v>
      </c>
      <c r="X363" s="40">
        <f>VLOOKUP(D363,[1]apoio_Preços_MGS!$A$6:$AN$238,29,FALSE)</f>
        <v>27.513333333333332</v>
      </c>
      <c r="Y363" s="40">
        <f>VLOOKUP(D363,[1]apoio_Preços_MGS!$A$6:$AN$238,30,FALSE)</f>
        <v>51.851515151515152</v>
      </c>
      <c r="Z363" s="40">
        <f t="shared" si="199"/>
        <v>79.36484848484848</v>
      </c>
      <c r="AA363" s="40">
        <f>VLOOKUP(D363,[1]apoio_Preços_MGS!$A$6:$AN$238,32,FALSE)</f>
        <v>4.9196051039999995</v>
      </c>
      <c r="AB363" s="40">
        <f>VLOOKUP(D363,[1]apoio_Preços_MGS!$A$6:$AN$238,33,FALSE)</f>
        <v>241.12</v>
      </c>
      <c r="AC363" s="41">
        <f>VLOOKUP(D363,[1]apoio_Preços_MGS!$A$6:$AN$238,34,FALSE)</f>
        <v>3.2974807684518895E-2</v>
      </c>
      <c r="AD363" s="40">
        <f>(U363+W363+Z363+AB363+AA363+VLOOKUP(C363,[1]apoio_Prec_Folha!$A:$S,7,FALSE))*AC363</f>
        <v>227.9258560933157</v>
      </c>
      <c r="AE363" s="42">
        <f>VLOOKUP(D363,[1]apoio_Preços_MGS!$A$6:$AN$238,36,FALSE)</f>
        <v>7.0000000000000007E-2</v>
      </c>
      <c r="AF363" s="40">
        <f>(U363+W363+Z363+AB363+AD363+AA363+VLOOKUP(C363,[1]apoio_Prec_Folha!$A:$S,7,FALSE))*AE363</f>
        <v>499.80327021710144</v>
      </c>
      <c r="AG363" s="40">
        <f t="shared" si="200"/>
        <v>7108.85</v>
      </c>
      <c r="AH363" s="43">
        <f t="shared" si="201"/>
        <v>8194.65</v>
      </c>
      <c r="AI363" s="43">
        <f t="shared" si="202"/>
        <v>8194.65</v>
      </c>
      <c r="AJ363" s="43">
        <f t="shared" si="203"/>
        <v>491679</v>
      </c>
      <c r="AK363" s="44">
        <f>VLOOKUP(D363,[1]apoio_Preços_MGS!$A$6:$AN$238,39,FALSE)</f>
        <v>200.00000000000003</v>
      </c>
      <c r="AL363" s="44">
        <f>IF(J363="demais municípios",VLOOKUP(D363,[1]apoio_Preços_MGS!$A$6:$AN$238,39,FALSE),0)</f>
        <v>200.00000000000003</v>
      </c>
      <c r="AM363" s="44">
        <v>0</v>
      </c>
      <c r="AN363" s="45">
        <f t="shared" si="206"/>
        <v>200.00000000000003</v>
      </c>
      <c r="AO363" s="44">
        <f>VLOOKUP(D363,[1]apoio_Preços_MGS!$A$6:$AN$238,40,FALSE)</f>
        <v>530.99</v>
      </c>
      <c r="AP363" s="44">
        <f>IF(J363="demais municípios",VLOOKUP(D363,[1]apoio_Preços_MGS!$A$6:$AN$238,40,FALSE),0)</f>
        <v>530.99</v>
      </c>
      <c r="AQ363" s="44">
        <v>0</v>
      </c>
      <c r="AR363" s="45">
        <f t="shared" si="207"/>
        <v>530.99</v>
      </c>
      <c r="AS363" s="45">
        <f t="shared" si="188"/>
        <v>730.99</v>
      </c>
      <c r="AT363" s="45">
        <f t="shared" si="189"/>
        <v>43859.4</v>
      </c>
      <c r="AU363" s="62"/>
      <c r="AV363" s="46"/>
      <c r="AW363" s="47"/>
      <c r="AX363" s="48"/>
      <c r="AY363" s="49"/>
      <c r="BA363" s="48"/>
    </row>
    <row r="364" spans="1:53" ht="19.5" customHeight="1" x14ac:dyDescent="0.25">
      <c r="A364" s="33" t="str">
        <f t="shared" si="184"/>
        <v>63355440,05</v>
      </c>
      <c r="B364" s="33" t="str">
        <f t="shared" si="185"/>
        <v>930,05</v>
      </c>
      <c r="C364" s="34" t="str">
        <f>VLOOKUP(D364,[1]apoio_Preços_MGS!$A$6:$B$238,2,FALSE)</f>
        <v>MOTOCICLISTA</v>
      </c>
      <c r="D364" s="35">
        <v>93</v>
      </c>
      <c r="E364" s="33" t="str">
        <f>VLOOKUP(D364,[1]apoio_Preços_MGS!$A$6:$F$238,6,FALSE)</f>
        <v>MOTOCICLISTA - (PERIC.) - DIARISTA DIURNO - 44H</v>
      </c>
      <c r="F364" s="36">
        <f>IFERROR(VLOOKUP(D364,'[1]apoio_cód catmas'!$B$2:$C$863,2,FALSE),0)</f>
        <v>63355</v>
      </c>
      <c r="G364" s="33" t="str">
        <f>IF(H364="N/A",VLOOKUP(F364&amp;40,'[1]apoio_cód catmas'!$A$1:$G$233,4,FALSE),VLOOKUP(F364&amp;H364,'[1]apoio_cód catmas'!$A$1:$G$233,4,FALSE))</f>
        <v>MOTOCICLISTA (PERICULOSIDADE) - 44H</v>
      </c>
      <c r="H364" s="36">
        <v>44</v>
      </c>
      <c r="I364" s="37">
        <v>0.05</v>
      </c>
      <c r="J364" s="38" t="s">
        <v>47</v>
      </c>
      <c r="K364" s="39">
        <v>4</v>
      </c>
      <c r="L364" s="39">
        <f t="shared" si="196"/>
        <v>240</v>
      </c>
      <c r="M364" s="40">
        <f>VLOOKUP(D364,[1]apoio_Preços_MGS!$A$6:$AN$238,18,FALSE)</f>
        <v>2562.2943249999998</v>
      </c>
      <c r="N364" s="40">
        <f>VLOOKUP(D364,[1]apoio_Preços_MGS!$A$6:$AN$238,19,FALSE)</f>
        <v>768.68829749999998</v>
      </c>
      <c r="O364" s="40">
        <f>VLOOKUP(D364,[1]apoio_Preços_MGS!$A$6:$AN$238,20,FALSE)</f>
        <v>0</v>
      </c>
      <c r="P364" s="40">
        <f>VLOOKUP(D364,[1]apoio_Preços_MGS!$A$6:$AN$238,21,FALSE)</f>
        <v>0</v>
      </c>
      <c r="Q364" s="40">
        <f>VLOOKUP(D364,[1]apoio_Preços_MGS!$A$6:$AN$238,22,FALSE)</f>
        <v>0</v>
      </c>
      <c r="R364" s="40">
        <f>VLOOKUP(D364,[1]apoio_Preços_MGS!$A$6:$AN$238,23,FALSE)</f>
        <v>0</v>
      </c>
      <c r="S364" s="40">
        <f>VLOOKUP(D364,[1]apoio_Preços_MGS!$A$6:$AN$238,24,FALSE)</f>
        <v>0</v>
      </c>
      <c r="T364" s="40">
        <f>VLOOKUP(D364,[1]apoio_Preços_MGS!$A$6:$AN$238,25,FALSE)</f>
        <v>0</v>
      </c>
      <c r="U364" s="40">
        <f t="shared" si="171"/>
        <v>3330.9826224999997</v>
      </c>
      <c r="V364" s="41">
        <v>0.81799999999999995</v>
      </c>
      <c r="W364" s="40">
        <f t="shared" si="172"/>
        <v>2724.7437852049998</v>
      </c>
      <c r="X364" s="40">
        <f>VLOOKUP(D364,[1]apoio_Preços_MGS!$A$6:$AN$238,29,FALSE)</f>
        <v>27.513333333333332</v>
      </c>
      <c r="Y364" s="40">
        <f>VLOOKUP(D364,[1]apoio_Preços_MGS!$A$6:$AN$238,30,FALSE)</f>
        <v>51.851515151515152</v>
      </c>
      <c r="Z364" s="40">
        <f t="shared" si="199"/>
        <v>79.36484848484848</v>
      </c>
      <c r="AA364" s="40">
        <f>VLOOKUP(D364,[1]apoio_Preços_MGS!$A$6:$AN$238,32,FALSE)</f>
        <v>4.9196051039999995</v>
      </c>
      <c r="AB364" s="40">
        <f>VLOOKUP(D364,[1]apoio_Preços_MGS!$A$6:$AN$238,33,FALSE)</f>
        <v>241.12</v>
      </c>
      <c r="AC364" s="41">
        <f>VLOOKUP(D364,[1]apoio_Preços_MGS!$A$6:$AN$238,34,FALSE)</f>
        <v>3.2974807684518895E-2</v>
      </c>
      <c r="AD364" s="40">
        <f>(U364+W364+Z364+AB364+AA364+VLOOKUP(C364,[1]apoio_Prec_Folha!$A:$S,7,FALSE))*AC364</f>
        <v>227.9258560933157</v>
      </c>
      <c r="AE364" s="42">
        <f>VLOOKUP(D364,[1]apoio_Preços_MGS!$A$6:$AN$238,36,FALSE)</f>
        <v>7.0000000000000007E-2</v>
      </c>
      <c r="AF364" s="40">
        <f>(U364+W364+Z364+AB364+AD364+AA364+VLOOKUP(C364,[1]apoio_Prec_Folha!$A:$S,7,FALSE))*AE364</f>
        <v>499.80327021710144</v>
      </c>
      <c r="AG364" s="40">
        <f t="shared" si="200"/>
        <v>7108.85</v>
      </c>
      <c r="AH364" s="43">
        <f t="shared" si="201"/>
        <v>8290.19</v>
      </c>
      <c r="AI364" s="43">
        <f t="shared" si="202"/>
        <v>33160.76</v>
      </c>
      <c r="AJ364" s="43">
        <f t="shared" si="203"/>
        <v>1989645.6</v>
      </c>
      <c r="AK364" s="44">
        <f>VLOOKUP(D364,[1]apoio_Preços_MGS!$A$6:$AN$238,39,FALSE)</f>
        <v>200.00000000000003</v>
      </c>
      <c r="AL364" s="44">
        <f>IF(J364="demais municípios",VLOOKUP(D364,[1]apoio_Preços_MGS!$A$6:$AN$238,39,FALSE),0)</f>
        <v>0</v>
      </c>
      <c r="AM364" s="44">
        <f>TRUNC(ROUND(($I364)/(1-($I364)),5)*VLOOKUP(D364,[1]apoio_Preços_MGS!$A$6:$AN$238,39,FALSE)+VLOOKUP(D364,[1]apoio_Preços_MGS!$A$6:$AN$238,39,FALSE),2)</f>
        <v>210.52</v>
      </c>
      <c r="AN364" s="45">
        <f t="shared" si="186"/>
        <v>842.08</v>
      </c>
      <c r="AO364" s="44">
        <f>VLOOKUP(D364,[1]apoio_Preços_MGS!$A$6:$AN$238,40,FALSE)</f>
        <v>530.99</v>
      </c>
      <c r="AP364" s="44">
        <f>IF(J364="demais municípios",VLOOKUP(D364,[1]apoio_Preços_MGS!$A$6:$AN$238,40,FALSE),0)</f>
        <v>0</v>
      </c>
      <c r="AQ364" s="44">
        <f>TRUNC(ROUND(($I364)/(1-($I364)),5)*VLOOKUP(D364,[1]apoio_Preços_MGS!$A$6:$AN$238,40,FALSE)+VLOOKUP(D364,[1]apoio_Preços_MGS!$A$6:$AN$238,40,FALSE),2)</f>
        <v>558.92999999999995</v>
      </c>
      <c r="AR364" s="45">
        <f t="shared" si="187"/>
        <v>2235.7199999999998</v>
      </c>
      <c r="AS364" s="45">
        <f t="shared" si="188"/>
        <v>3077.7999999999997</v>
      </c>
      <c r="AT364" s="45">
        <f t="shared" si="189"/>
        <v>184667.99999999997</v>
      </c>
      <c r="AU364" s="62"/>
      <c r="AV364" s="46"/>
      <c r="AW364" s="47"/>
      <c r="AX364" s="48"/>
      <c r="AY364" s="49"/>
      <c r="BA364" s="48"/>
    </row>
    <row r="365" spans="1:53" ht="19.5" customHeight="1" x14ac:dyDescent="0.25">
      <c r="A365" s="33" t="str">
        <f t="shared" si="184"/>
        <v>64270440,02</v>
      </c>
      <c r="B365" s="33" t="str">
        <f t="shared" si="185"/>
        <v>1060,02</v>
      </c>
      <c r="C365" s="34" t="str">
        <f>VLOOKUP(D365,[1]apoio_Preços_MGS!$A$6:$B$238,2,FALSE)</f>
        <v>MOTORISTA DE AMBULÂNCIA</v>
      </c>
      <c r="D365" s="35">
        <v>106</v>
      </c>
      <c r="E365" s="33" t="str">
        <f>VLOOKUP(D365,[1]apoio_Preços_MGS!$A$6:$F$238,6,FALSE)</f>
        <v>MOTORISTA DE AMBULÂNCIA - 12x36 DIURNO - 44H</v>
      </c>
      <c r="F365" s="36">
        <f>IFERROR(VLOOKUP(D365,'[1]apoio_cód catmas'!$B$2:$C$863,2,FALSE),0)</f>
        <v>64270</v>
      </c>
      <c r="G365" s="33" t="str">
        <f>IF(H365="N/A",VLOOKUP(F365&amp;40,'[1]apoio_cód catmas'!$A$1:$G$233,4,FALSE),VLOOKUP(F365&amp;H365,'[1]apoio_cód catmas'!$A$1:$G$233,4,FALSE))</f>
        <v>MOTORISTA DE AMBULANCIA - 12X36 DIURNO - 44H</v>
      </c>
      <c r="H365" s="36">
        <v>44</v>
      </c>
      <c r="I365" s="37">
        <v>0.02</v>
      </c>
      <c r="J365" s="38" t="s">
        <v>46</v>
      </c>
      <c r="K365" s="39">
        <v>12</v>
      </c>
      <c r="L365" s="39">
        <f t="shared" si="196"/>
        <v>720</v>
      </c>
      <c r="M365" s="40">
        <f>VLOOKUP(D365,[1]apoio_Preços_MGS!$A$6:$AN$238,18,FALSE)</f>
        <v>3862.1518529111127</v>
      </c>
      <c r="N365" s="40">
        <f>VLOOKUP(D365,[1]apoio_Preços_MGS!$A$6:$AN$238,19,FALSE)</f>
        <v>0</v>
      </c>
      <c r="O365" s="40">
        <f>VLOOKUP(D365,[1]apoio_Preços_MGS!$A$6:$AN$238,20,FALSE)</f>
        <v>0</v>
      </c>
      <c r="P365" s="40">
        <f>VLOOKUP(D365,[1]apoio_Preços_MGS!$A$6:$AN$238,21,FALSE)</f>
        <v>0</v>
      </c>
      <c r="Q365" s="40">
        <f>VLOOKUP(D365,[1]apoio_Preços_MGS!$A$6:$AN$238,22,FALSE)</f>
        <v>0</v>
      </c>
      <c r="R365" s="40">
        <f>VLOOKUP(D365,[1]apoio_Preços_MGS!$A$6:$AN$238,23,FALSE)</f>
        <v>0</v>
      </c>
      <c r="S365" s="40">
        <f>VLOOKUP(D365,[1]apoio_Preços_MGS!$A$6:$AN$238,24,FALSE)</f>
        <v>298.85698861812182</v>
      </c>
      <c r="T365" s="40">
        <f>VLOOKUP(D365,[1]apoio_Preços_MGS!$A$6:$AN$238,25,FALSE)</f>
        <v>5.3640997957098788</v>
      </c>
      <c r="U365" s="40">
        <f t="shared" si="171"/>
        <v>4166.3729413249448</v>
      </c>
      <c r="V365" s="41">
        <v>0.81799999999999995</v>
      </c>
      <c r="W365" s="40">
        <f t="shared" si="172"/>
        <v>3408.0930660038048</v>
      </c>
      <c r="X365" s="40">
        <f>VLOOKUP(D365,[1]apoio_Preços_MGS!$A$6:$AN$238,29,FALSE)</f>
        <v>44.339166666666664</v>
      </c>
      <c r="Y365" s="40">
        <f>VLOOKUP(D365,[1]apoio_Preços_MGS!$A$6:$AN$238,30,FALSE)</f>
        <v>12.884945454545454</v>
      </c>
      <c r="Z365" s="40">
        <f t="shared" si="199"/>
        <v>57.224112121212116</v>
      </c>
      <c r="AA365" s="40">
        <f>VLOOKUP(D365,[1]apoio_Preços_MGS!$A$6:$AN$238,32,FALSE)</f>
        <v>7.4153315575893357</v>
      </c>
      <c r="AB365" s="40">
        <f>VLOOKUP(D365,[1]apoio_Preços_MGS!$A$6:$AN$238,33,FALSE)</f>
        <v>19.965546666666668</v>
      </c>
      <c r="AC365" s="41">
        <f>VLOOKUP(D365,[1]apoio_Preços_MGS!$A$6:$AN$238,34,FALSE)</f>
        <v>3.7300615542660252E-2</v>
      </c>
      <c r="AD365" s="40">
        <f>(U365+W365+Z365+AB365+AA365+VLOOKUP(C365,[1]apoio_Prec_Folha!$A:$S,7,FALSE))*AC365</f>
        <v>307.26163960325533</v>
      </c>
      <c r="AE365" s="42">
        <f>VLOOKUP(D365,[1]apoio_Preços_MGS!$A$6:$AN$238,36,FALSE)</f>
        <v>7.0000000000000007E-2</v>
      </c>
      <c r="AF365" s="40">
        <f>(U365+W365+Z365+AB365+AD365+AA365+VLOOKUP(C365,[1]apoio_Prec_Folha!$A:$S,7,FALSE))*AE365</f>
        <v>598.12922194275654</v>
      </c>
      <c r="AG365" s="40">
        <f t="shared" si="200"/>
        <v>8564.4599999999991</v>
      </c>
      <c r="AH365" s="43">
        <f t="shared" si="201"/>
        <v>9650.09</v>
      </c>
      <c r="AI365" s="43">
        <f t="shared" si="202"/>
        <v>115801.08</v>
      </c>
      <c r="AJ365" s="43">
        <f t="shared" si="203"/>
        <v>6948064.7999999998</v>
      </c>
      <c r="AK365" s="44">
        <f>VLOOKUP(D365,[1]apoio_Preços_MGS!$A$6:$AN$238,39,FALSE)</f>
        <v>200.00000000000003</v>
      </c>
      <c r="AL365" s="44">
        <f>IF(J365="demais municípios",VLOOKUP(D365,[1]apoio_Preços_MGS!$A$6:$AN$238,39,FALSE),0)</f>
        <v>200.00000000000003</v>
      </c>
      <c r="AM365" s="44">
        <v>0</v>
      </c>
      <c r="AN365" s="45">
        <f t="shared" ref="AN365:AN370" si="208">AK365*K365</f>
        <v>2400.0000000000005</v>
      </c>
      <c r="AO365" s="44">
        <f>VLOOKUP(D365,[1]apoio_Preços_MGS!$A$6:$AN$238,40,FALSE)</f>
        <v>578.37</v>
      </c>
      <c r="AP365" s="44">
        <f>IF(J365="demais municípios",VLOOKUP(D365,[1]apoio_Preços_MGS!$A$6:$AN$238,40,FALSE),0)</f>
        <v>578.37</v>
      </c>
      <c r="AQ365" s="44">
        <v>0</v>
      </c>
      <c r="AR365" s="45">
        <f t="shared" ref="AR365:AR370" si="209">AO365*K365</f>
        <v>6940.4400000000005</v>
      </c>
      <c r="AS365" s="45">
        <f t="shared" si="188"/>
        <v>9340.44</v>
      </c>
      <c r="AT365" s="45">
        <f t="shared" si="189"/>
        <v>560426.4</v>
      </c>
      <c r="AU365" s="62"/>
      <c r="AV365" s="46"/>
      <c r="AW365" s="47"/>
      <c r="AX365" s="48"/>
      <c r="AY365" s="49"/>
      <c r="BA365" s="48"/>
    </row>
    <row r="366" spans="1:53" ht="19.5" customHeight="1" x14ac:dyDescent="0.25">
      <c r="A366" s="33" t="str">
        <f t="shared" si="184"/>
        <v>64270440,03</v>
      </c>
      <c r="B366" s="33" t="str">
        <f t="shared" si="185"/>
        <v>1060,03</v>
      </c>
      <c r="C366" s="34" t="str">
        <f>VLOOKUP(D366,[1]apoio_Preços_MGS!$A$6:$B$238,2,FALSE)</f>
        <v>MOTORISTA DE AMBULÂNCIA</v>
      </c>
      <c r="D366" s="35">
        <v>106</v>
      </c>
      <c r="E366" s="33" t="str">
        <f>VLOOKUP(D366,[1]apoio_Preços_MGS!$A$6:$F$238,6,FALSE)</f>
        <v>MOTORISTA DE AMBULÂNCIA - 12x36 DIURNO - 44H</v>
      </c>
      <c r="F366" s="36">
        <f>IFERROR(VLOOKUP(D366,'[1]apoio_cód catmas'!$B$2:$C$863,2,FALSE),0)</f>
        <v>64270</v>
      </c>
      <c r="G366" s="33" t="str">
        <f>IF(H366="N/A",VLOOKUP(F366&amp;40,'[1]apoio_cód catmas'!$A$1:$G$233,4,FALSE),VLOOKUP(F366&amp;H366,'[1]apoio_cód catmas'!$A$1:$G$233,4,FALSE))</f>
        <v>MOTORISTA DE AMBULANCIA - 12X36 DIURNO - 44H</v>
      </c>
      <c r="H366" s="36">
        <v>44</v>
      </c>
      <c r="I366" s="37">
        <v>0.03</v>
      </c>
      <c r="J366" s="38" t="s">
        <v>46</v>
      </c>
      <c r="K366" s="39">
        <f>23-4</f>
        <v>19</v>
      </c>
      <c r="L366" s="39">
        <f t="shared" si="196"/>
        <v>1140</v>
      </c>
      <c r="M366" s="40">
        <f>VLOOKUP(D366,[1]apoio_Preços_MGS!$A$6:$AN$238,18,FALSE)</f>
        <v>3862.1518529111127</v>
      </c>
      <c r="N366" s="40">
        <f>VLOOKUP(D366,[1]apoio_Preços_MGS!$A$6:$AN$238,19,FALSE)</f>
        <v>0</v>
      </c>
      <c r="O366" s="40">
        <f>VLOOKUP(D366,[1]apoio_Preços_MGS!$A$6:$AN$238,20,FALSE)</f>
        <v>0</v>
      </c>
      <c r="P366" s="40">
        <f>VLOOKUP(D366,[1]apoio_Preços_MGS!$A$6:$AN$238,21,FALSE)</f>
        <v>0</v>
      </c>
      <c r="Q366" s="40">
        <f>VLOOKUP(D366,[1]apoio_Preços_MGS!$A$6:$AN$238,22,FALSE)</f>
        <v>0</v>
      </c>
      <c r="R366" s="40">
        <f>VLOOKUP(D366,[1]apoio_Preços_MGS!$A$6:$AN$238,23,FALSE)</f>
        <v>0</v>
      </c>
      <c r="S366" s="40">
        <f>VLOOKUP(D366,[1]apoio_Preços_MGS!$A$6:$AN$238,24,FALSE)</f>
        <v>298.85698861812182</v>
      </c>
      <c r="T366" s="40">
        <f>VLOOKUP(D366,[1]apoio_Preços_MGS!$A$6:$AN$238,25,FALSE)</f>
        <v>5.3640997957098788</v>
      </c>
      <c r="U366" s="40">
        <f t="shared" si="171"/>
        <v>4166.3729413249448</v>
      </c>
      <c r="V366" s="41">
        <v>0.81799999999999995</v>
      </c>
      <c r="W366" s="40">
        <f t="shared" si="172"/>
        <v>3408.0930660038048</v>
      </c>
      <c r="X366" s="40">
        <f>VLOOKUP(D366,[1]apoio_Preços_MGS!$A$6:$AN$238,29,FALSE)</f>
        <v>44.339166666666664</v>
      </c>
      <c r="Y366" s="40">
        <f>VLOOKUP(D366,[1]apoio_Preços_MGS!$A$6:$AN$238,30,FALSE)</f>
        <v>12.884945454545454</v>
      </c>
      <c r="Z366" s="40">
        <f t="shared" si="199"/>
        <v>57.224112121212116</v>
      </c>
      <c r="AA366" s="40">
        <f>VLOOKUP(D366,[1]apoio_Preços_MGS!$A$6:$AN$238,32,FALSE)</f>
        <v>7.4153315575893357</v>
      </c>
      <c r="AB366" s="40">
        <f>VLOOKUP(D366,[1]apoio_Preços_MGS!$A$6:$AN$238,33,FALSE)</f>
        <v>19.965546666666668</v>
      </c>
      <c r="AC366" s="41">
        <f>VLOOKUP(D366,[1]apoio_Preços_MGS!$A$6:$AN$238,34,FALSE)</f>
        <v>3.7300615542660252E-2</v>
      </c>
      <c r="AD366" s="40">
        <f>(U366+W366+Z366+AB366+AA366+VLOOKUP(C366,[1]apoio_Prec_Folha!$A:$S,7,FALSE))*AC366</f>
        <v>307.26163960325533</v>
      </c>
      <c r="AE366" s="42">
        <f>VLOOKUP(D366,[1]apoio_Preços_MGS!$A$6:$AN$238,36,FALSE)</f>
        <v>7.0000000000000007E-2</v>
      </c>
      <c r="AF366" s="40">
        <f>(U366+W366+Z366+AB366+AD366+AA366+VLOOKUP(C366,[1]apoio_Prec_Folha!$A:$S,7,FALSE))*AE366</f>
        <v>598.12922194275654</v>
      </c>
      <c r="AG366" s="40">
        <f t="shared" si="200"/>
        <v>8564.4599999999991</v>
      </c>
      <c r="AH366" s="43">
        <f t="shared" si="201"/>
        <v>9760.0499999999993</v>
      </c>
      <c r="AI366" s="43">
        <f t="shared" si="202"/>
        <v>185440.94999999998</v>
      </c>
      <c r="AJ366" s="43">
        <f t="shared" si="203"/>
        <v>11126457</v>
      </c>
      <c r="AK366" s="44">
        <f>VLOOKUP(D366,[1]apoio_Preços_MGS!$A$6:$AN$238,39,FALSE)</f>
        <v>200.00000000000003</v>
      </c>
      <c r="AL366" s="44">
        <f>IF(J366="demais municípios",VLOOKUP(D366,[1]apoio_Preços_MGS!$A$6:$AN$238,39,FALSE),0)</f>
        <v>200.00000000000003</v>
      </c>
      <c r="AM366" s="44">
        <v>0</v>
      </c>
      <c r="AN366" s="45">
        <f t="shared" si="208"/>
        <v>3800.0000000000005</v>
      </c>
      <c r="AO366" s="44">
        <f>VLOOKUP(D366,[1]apoio_Preços_MGS!$A$6:$AN$238,40,FALSE)</f>
        <v>578.37</v>
      </c>
      <c r="AP366" s="44">
        <f>IF(J366="demais municípios",VLOOKUP(D366,[1]apoio_Preços_MGS!$A$6:$AN$238,40,FALSE),0)</f>
        <v>578.37</v>
      </c>
      <c r="AQ366" s="44">
        <v>0</v>
      </c>
      <c r="AR366" s="45">
        <f t="shared" si="209"/>
        <v>10989.03</v>
      </c>
      <c r="AS366" s="45">
        <f t="shared" si="188"/>
        <v>14789.03</v>
      </c>
      <c r="AT366" s="45">
        <f t="shared" si="189"/>
        <v>887341.8</v>
      </c>
      <c r="AU366" s="62"/>
      <c r="AV366" s="46"/>
      <c r="AW366" s="47"/>
      <c r="AX366" s="48"/>
      <c r="AY366" s="49"/>
      <c r="BA366" s="48"/>
    </row>
    <row r="367" spans="1:53" ht="19.5" customHeight="1" x14ac:dyDescent="0.25">
      <c r="A367" s="33" t="str">
        <f t="shared" si="184"/>
        <v>64270440,035</v>
      </c>
      <c r="B367" s="33" t="str">
        <f t="shared" si="185"/>
        <v>1060,035</v>
      </c>
      <c r="C367" s="34" t="str">
        <f>VLOOKUP(D367,[1]apoio_Preços_MGS!$A$6:$B$238,2,FALSE)</f>
        <v>MOTORISTA DE AMBULÂNCIA</v>
      </c>
      <c r="D367" s="35">
        <v>106</v>
      </c>
      <c r="E367" s="33" t="str">
        <f>VLOOKUP(D367,[1]apoio_Preços_MGS!$A$6:$F$238,6,FALSE)</f>
        <v>MOTORISTA DE AMBULÂNCIA - 12x36 DIURNO - 44H</v>
      </c>
      <c r="F367" s="36">
        <f>IFERROR(VLOOKUP(D367,'[1]apoio_cód catmas'!$B$2:$C$863,2,FALSE),0)</f>
        <v>64270</v>
      </c>
      <c r="G367" s="33" t="str">
        <f>IF(H367="N/A",VLOOKUP(F367&amp;40,'[1]apoio_cód catmas'!$A$1:$G$233,4,FALSE),VLOOKUP(F367&amp;H367,'[1]apoio_cód catmas'!$A$1:$G$233,4,FALSE))</f>
        <v>MOTORISTA DE AMBULANCIA - 12X36 DIURNO - 44H</v>
      </c>
      <c r="H367" s="36">
        <v>44</v>
      </c>
      <c r="I367" s="37">
        <v>3.5000000000000003E-2</v>
      </c>
      <c r="J367" s="38" t="s">
        <v>46</v>
      </c>
      <c r="K367" s="39">
        <v>17</v>
      </c>
      <c r="L367" s="39">
        <f t="shared" si="196"/>
        <v>1020</v>
      </c>
      <c r="M367" s="40">
        <f>VLOOKUP(D367,[1]apoio_Preços_MGS!$A$6:$AN$238,18,FALSE)</f>
        <v>3862.1518529111127</v>
      </c>
      <c r="N367" s="40">
        <f>VLOOKUP(D367,[1]apoio_Preços_MGS!$A$6:$AN$238,19,FALSE)</f>
        <v>0</v>
      </c>
      <c r="O367" s="40">
        <f>VLOOKUP(D367,[1]apoio_Preços_MGS!$A$6:$AN$238,20,FALSE)</f>
        <v>0</v>
      </c>
      <c r="P367" s="40">
        <f>VLOOKUP(D367,[1]apoio_Preços_MGS!$A$6:$AN$238,21,FALSE)</f>
        <v>0</v>
      </c>
      <c r="Q367" s="40">
        <f>VLOOKUP(D367,[1]apoio_Preços_MGS!$A$6:$AN$238,22,FALSE)</f>
        <v>0</v>
      </c>
      <c r="R367" s="40">
        <f>VLOOKUP(D367,[1]apoio_Preços_MGS!$A$6:$AN$238,23,FALSE)</f>
        <v>0</v>
      </c>
      <c r="S367" s="40">
        <f>VLOOKUP(D367,[1]apoio_Preços_MGS!$A$6:$AN$238,24,FALSE)</f>
        <v>298.85698861812182</v>
      </c>
      <c r="T367" s="40">
        <f>VLOOKUP(D367,[1]apoio_Preços_MGS!$A$6:$AN$238,25,FALSE)</f>
        <v>5.3640997957098788</v>
      </c>
      <c r="U367" s="40">
        <f t="shared" si="171"/>
        <v>4166.3729413249448</v>
      </c>
      <c r="V367" s="41">
        <v>0.81799999999999995</v>
      </c>
      <c r="W367" s="40">
        <f t="shared" si="172"/>
        <v>3408.0930660038048</v>
      </c>
      <c r="X367" s="40">
        <f>VLOOKUP(D367,[1]apoio_Preços_MGS!$A$6:$AN$238,29,FALSE)</f>
        <v>44.339166666666664</v>
      </c>
      <c r="Y367" s="40">
        <f>VLOOKUP(D367,[1]apoio_Preços_MGS!$A$6:$AN$238,30,FALSE)</f>
        <v>12.884945454545454</v>
      </c>
      <c r="Z367" s="40">
        <f t="shared" si="199"/>
        <v>57.224112121212116</v>
      </c>
      <c r="AA367" s="40">
        <f>VLOOKUP(D367,[1]apoio_Preços_MGS!$A$6:$AN$238,32,FALSE)</f>
        <v>7.4153315575893357</v>
      </c>
      <c r="AB367" s="40">
        <f>VLOOKUP(D367,[1]apoio_Preços_MGS!$A$6:$AN$238,33,FALSE)</f>
        <v>19.965546666666668</v>
      </c>
      <c r="AC367" s="41">
        <f>VLOOKUP(D367,[1]apoio_Preços_MGS!$A$6:$AN$238,34,FALSE)</f>
        <v>3.7300615542660252E-2</v>
      </c>
      <c r="AD367" s="40">
        <f>(U367+W367+Z367+AB367+AA367+VLOOKUP(C367,[1]apoio_Prec_Folha!$A:$S,7,FALSE))*AC367</f>
        <v>307.26163960325533</v>
      </c>
      <c r="AE367" s="42">
        <f>VLOOKUP(D367,[1]apoio_Preços_MGS!$A$6:$AN$238,36,FALSE)</f>
        <v>7.0000000000000007E-2</v>
      </c>
      <c r="AF367" s="40">
        <f>(U367+W367+Z367+AB367+AD367+AA367+VLOOKUP(C367,[1]apoio_Prec_Folha!$A:$S,7,FALSE))*AE367</f>
        <v>598.12922194275654</v>
      </c>
      <c r="AG367" s="40">
        <f t="shared" si="200"/>
        <v>8564.4599999999991</v>
      </c>
      <c r="AH367" s="43">
        <f t="shared" si="201"/>
        <v>9815.98</v>
      </c>
      <c r="AI367" s="43">
        <f t="shared" si="202"/>
        <v>166871.66</v>
      </c>
      <c r="AJ367" s="43">
        <f t="shared" si="203"/>
        <v>10012299.6</v>
      </c>
      <c r="AK367" s="44">
        <f>VLOOKUP(D367,[1]apoio_Preços_MGS!$A$6:$AN$238,39,FALSE)</f>
        <v>200.00000000000003</v>
      </c>
      <c r="AL367" s="44">
        <f>IF(J367="demais municípios",VLOOKUP(D367,[1]apoio_Preços_MGS!$A$6:$AN$238,39,FALSE),0)</f>
        <v>200.00000000000003</v>
      </c>
      <c r="AM367" s="44">
        <v>0</v>
      </c>
      <c r="AN367" s="45">
        <f t="shared" si="208"/>
        <v>3400.0000000000005</v>
      </c>
      <c r="AO367" s="44">
        <f>VLOOKUP(D367,[1]apoio_Preços_MGS!$A$6:$AN$238,40,FALSE)</f>
        <v>578.37</v>
      </c>
      <c r="AP367" s="44">
        <f>IF(J367="demais municípios",VLOOKUP(D367,[1]apoio_Preços_MGS!$A$6:$AN$238,40,FALSE),0)</f>
        <v>578.37</v>
      </c>
      <c r="AQ367" s="44">
        <v>0</v>
      </c>
      <c r="AR367" s="45">
        <f t="shared" si="209"/>
        <v>9832.2900000000009</v>
      </c>
      <c r="AS367" s="45">
        <f t="shared" si="188"/>
        <v>13232.29</v>
      </c>
      <c r="AT367" s="45">
        <f t="shared" si="189"/>
        <v>793937.4</v>
      </c>
      <c r="AU367" s="62"/>
      <c r="AV367" s="46"/>
      <c r="AW367" s="47"/>
      <c r="AX367" s="48"/>
      <c r="AY367" s="49"/>
      <c r="BA367" s="48"/>
    </row>
    <row r="368" spans="1:53" ht="19.5" customHeight="1" x14ac:dyDescent="0.25">
      <c r="A368" s="33" t="str">
        <f t="shared" si="184"/>
        <v>64270440,038</v>
      </c>
      <c r="B368" s="33" t="str">
        <f t="shared" si="185"/>
        <v>1060,038</v>
      </c>
      <c r="C368" s="34" t="str">
        <f>VLOOKUP(D368,[1]apoio_Preços_MGS!$A$6:$B$238,2,FALSE)</f>
        <v>MOTORISTA DE AMBULÂNCIA</v>
      </c>
      <c r="D368" s="35">
        <v>106</v>
      </c>
      <c r="E368" s="33" t="str">
        <f>VLOOKUP(D368,[1]apoio_Preços_MGS!$A$6:$F$238,6,FALSE)</f>
        <v>MOTORISTA DE AMBULÂNCIA - 12x36 DIURNO - 44H</v>
      </c>
      <c r="F368" s="36">
        <f>IFERROR(VLOOKUP(D368,'[1]apoio_cód catmas'!$B$2:$C$863,2,FALSE),0)</f>
        <v>64270</v>
      </c>
      <c r="G368" s="33" t="str">
        <f>IF(H368="N/A",VLOOKUP(F368&amp;40,'[1]apoio_cód catmas'!$A$1:$G$233,4,FALSE),VLOOKUP(F368&amp;H368,'[1]apoio_cód catmas'!$A$1:$G$233,4,FALSE))</f>
        <v>MOTORISTA DE AMBULANCIA - 12X36 DIURNO - 44H</v>
      </c>
      <c r="H368" s="36">
        <v>44</v>
      </c>
      <c r="I368" s="37">
        <v>3.7999999999999999E-2</v>
      </c>
      <c r="J368" s="38" t="s">
        <v>46</v>
      </c>
      <c r="K368" s="39">
        <v>6</v>
      </c>
      <c r="L368" s="39">
        <f t="shared" si="196"/>
        <v>360</v>
      </c>
      <c r="M368" s="40">
        <f>VLOOKUP(D368,[1]apoio_Preços_MGS!$A$6:$AN$238,18,FALSE)</f>
        <v>3862.1518529111127</v>
      </c>
      <c r="N368" s="40">
        <f>VLOOKUP(D368,[1]apoio_Preços_MGS!$A$6:$AN$238,19,FALSE)</f>
        <v>0</v>
      </c>
      <c r="O368" s="40">
        <f>VLOOKUP(D368,[1]apoio_Preços_MGS!$A$6:$AN$238,20,FALSE)</f>
        <v>0</v>
      </c>
      <c r="P368" s="40">
        <f>VLOOKUP(D368,[1]apoio_Preços_MGS!$A$6:$AN$238,21,FALSE)</f>
        <v>0</v>
      </c>
      <c r="Q368" s="40">
        <f>VLOOKUP(D368,[1]apoio_Preços_MGS!$A$6:$AN$238,22,FALSE)</f>
        <v>0</v>
      </c>
      <c r="R368" s="40">
        <f>VLOOKUP(D368,[1]apoio_Preços_MGS!$A$6:$AN$238,23,FALSE)</f>
        <v>0</v>
      </c>
      <c r="S368" s="40">
        <f>VLOOKUP(D368,[1]apoio_Preços_MGS!$A$6:$AN$238,24,FALSE)</f>
        <v>298.85698861812182</v>
      </c>
      <c r="T368" s="40">
        <f>VLOOKUP(D368,[1]apoio_Preços_MGS!$A$6:$AN$238,25,FALSE)</f>
        <v>5.3640997957098788</v>
      </c>
      <c r="U368" s="40">
        <f t="shared" si="171"/>
        <v>4166.3729413249448</v>
      </c>
      <c r="V368" s="41">
        <v>0.81799999999999995</v>
      </c>
      <c r="W368" s="40">
        <f t="shared" si="172"/>
        <v>3408.0930660038048</v>
      </c>
      <c r="X368" s="40">
        <f>VLOOKUP(D368,[1]apoio_Preços_MGS!$A$6:$AN$238,29,FALSE)</f>
        <v>44.339166666666664</v>
      </c>
      <c r="Y368" s="40">
        <f>VLOOKUP(D368,[1]apoio_Preços_MGS!$A$6:$AN$238,30,FALSE)</f>
        <v>12.884945454545454</v>
      </c>
      <c r="Z368" s="40">
        <f t="shared" si="199"/>
        <v>57.224112121212116</v>
      </c>
      <c r="AA368" s="40">
        <f>VLOOKUP(D368,[1]apoio_Preços_MGS!$A$6:$AN$238,32,FALSE)</f>
        <v>7.4153315575893357</v>
      </c>
      <c r="AB368" s="40">
        <f>VLOOKUP(D368,[1]apoio_Preços_MGS!$A$6:$AN$238,33,FALSE)</f>
        <v>19.965546666666668</v>
      </c>
      <c r="AC368" s="41">
        <f>VLOOKUP(D368,[1]apoio_Preços_MGS!$A$6:$AN$238,34,FALSE)</f>
        <v>3.7300615542660252E-2</v>
      </c>
      <c r="AD368" s="40">
        <f>(U368+W368+Z368+AB368+AA368+VLOOKUP(C368,[1]apoio_Prec_Folha!$A:$S,7,FALSE))*AC368</f>
        <v>307.26163960325533</v>
      </c>
      <c r="AE368" s="42">
        <f>VLOOKUP(D368,[1]apoio_Preços_MGS!$A$6:$AN$238,36,FALSE)</f>
        <v>7.0000000000000007E-2</v>
      </c>
      <c r="AF368" s="40">
        <f>(U368+W368+Z368+AB368+AD368+AA368+VLOOKUP(C368,[1]apoio_Prec_Folha!$A:$S,7,FALSE))*AE368</f>
        <v>598.12922194275654</v>
      </c>
      <c r="AG368" s="40">
        <f t="shared" si="200"/>
        <v>8564.4599999999991</v>
      </c>
      <c r="AH368" s="43">
        <f t="shared" si="201"/>
        <v>9849.89</v>
      </c>
      <c r="AI368" s="43">
        <f t="shared" si="202"/>
        <v>59099.34</v>
      </c>
      <c r="AJ368" s="43">
        <f t="shared" si="203"/>
        <v>3545960.4</v>
      </c>
      <c r="AK368" s="44">
        <f>VLOOKUP(D368,[1]apoio_Preços_MGS!$A$6:$AN$238,39,FALSE)</f>
        <v>200.00000000000003</v>
      </c>
      <c r="AL368" s="44">
        <f>IF(J368="demais municípios",VLOOKUP(D368,[1]apoio_Preços_MGS!$A$6:$AN$238,39,FALSE),0)</f>
        <v>200.00000000000003</v>
      </c>
      <c r="AM368" s="44">
        <v>0</v>
      </c>
      <c r="AN368" s="45">
        <f t="shared" si="208"/>
        <v>1200.0000000000002</v>
      </c>
      <c r="AO368" s="44">
        <f>VLOOKUP(D368,[1]apoio_Preços_MGS!$A$6:$AN$238,40,FALSE)</f>
        <v>578.37</v>
      </c>
      <c r="AP368" s="44">
        <f>IF(J368="demais municípios",VLOOKUP(D368,[1]apoio_Preços_MGS!$A$6:$AN$238,40,FALSE),0)</f>
        <v>578.37</v>
      </c>
      <c r="AQ368" s="44">
        <v>0</v>
      </c>
      <c r="AR368" s="45">
        <f t="shared" si="209"/>
        <v>3470.2200000000003</v>
      </c>
      <c r="AS368" s="45">
        <f t="shared" si="188"/>
        <v>4670.22</v>
      </c>
      <c r="AT368" s="45">
        <f t="shared" si="189"/>
        <v>280213.2</v>
      </c>
      <c r="AU368" s="62"/>
      <c r="AV368" s="46"/>
      <c r="AW368" s="47"/>
      <c r="AX368" s="48"/>
      <c r="AY368" s="49"/>
      <c r="BA368" s="48"/>
    </row>
    <row r="369" spans="1:53" ht="19.5" customHeight="1" x14ac:dyDescent="0.25">
      <c r="A369" s="33" t="str">
        <f t="shared" si="184"/>
        <v>64270440,05</v>
      </c>
      <c r="B369" s="33" t="str">
        <f t="shared" si="185"/>
        <v>1060,05</v>
      </c>
      <c r="C369" s="34" t="str">
        <f>VLOOKUP(D369,[1]apoio_Preços_MGS!$A$6:$B$238,2,FALSE)</f>
        <v>MOTORISTA DE AMBULÂNCIA</v>
      </c>
      <c r="D369" s="35">
        <v>106</v>
      </c>
      <c r="E369" s="33" t="str">
        <f>VLOOKUP(D369,[1]apoio_Preços_MGS!$A$6:$F$238,6,FALSE)</f>
        <v>MOTORISTA DE AMBULÂNCIA - 12x36 DIURNO - 44H</v>
      </c>
      <c r="F369" s="36">
        <f>IFERROR(VLOOKUP(D369,'[1]apoio_cód catmas'!$B$2:$C$863,2,FALSE),0)</f>
        <v>64270</v>
      </c>
      <c r="G369" s="33" t="str">
        <f>IF(H369="N/A",VLOOKUP(F369&amp;40,'[1]apoio_cód catmas'!$A$1:$G$233,4,FALSE),VLOOKUP(F369&amp;H369,'[1]apoio_cód catmas'!$A$1:$G$233,4,FALSE))</f>
        <v>MOTORISTA DE AMBULANCIA - 12X36 DIURNO - 44H</v>
      </c>
      <c r="H369" s="36">
        <v>44</v>
      </c>
      <c r="I369" s="37">
        <v>0.05</v>
      </c>
      <c r="J369" s="38" t="s">
        <v>46</v>
      </c>
      <c r="K369" s="39">
        <v>4</v>
      </c>
      <c r="L369" s="39">
        <f>K369*56</f>
        <v>224</v>
      </c>
      <c r="M369" s="40">
        <f>VLOOKUP(D369,[1]apoio_Preços_MGS!$A$6:$AN$238,18,FALSE)</f>
        <v>3862.1518529111127</v>
      </c>
      <c r="N369" s="40">
        <f>VLOOKUP(D369,[1]apoio_Preços_MGS!$A$6:$AN$238,19,FALSE)</f>
        <v>0</v>
      </c>
      <c r="O369" s="40">
        <f>VLOOKUP(D369,[1]apoio_Preços_MGS!$A$6:$AN$238,20,FALSE)</f>
        <v>0</v>
      </c>
      <c r="P369" s="40">
        <f>VLOOKUP(D369,[1]apoio_Preços_MGS!$A$6:$AN$238,21,FALSE)</f>
        <v>0</v>
      </c>
      <c r="Q369" s="40">
        <f>VLOOKUP(D369,[1]apoio_Preços_MGS!$A$6:$AN$238,22,FALSE)</f>
        <v>0</v>
      </c>
      <c r="R369" s="40">
        <f>VLOOKUP(D369,[1]apoio_Preços_MGS!$A$6:$AN$238,23,FALSE)</f>
        <v>0</v>
      </c>
      <c r="S369" s="40">
        <f>VLOOKUP(D369,[1]apoio_Preços_MGS!$A$6:$AN$238,24,FALSE)</f>
        <v>298.85698861812182</v>
      </c>
      <c r="T369" s="40">
        <f>VLOOKUP(D369,[1]apoio_Preços_MGS!$A$6:$AN$238,25,FALSE)</f>
        <v>5.3640997957098788</v>
      </c>
      <c r="U369" s="40">
        <f t="shared" si="171"/>
        <v>4166.3729413249448</v>
      </c>
      <c r="V369" s="41">
        <v>0.81799999999999995</v>
      </c>
      <c r="W369" s="40">
        <f t="shared" si="172"/>
        <v>3408.0930660038048</v>
      </c>
      <c r="X369" s="40">
        <f>VLOOKUP(D369,[1]apoio_Preços_MGS!$A$6:$AN$238,29,FALSE)</f>
        <v>44.339166666666664</v>
      </c>
      <c r="Y369" s="40">
        <f>VLOOKUP(D369,[1]apoio_Preços_MGS!$A$6:$AN$238,30,FALSE)</f>
        <v>12.884945454545454</v>
      </c>
      <c r="Z369" s="40">
        <f t="shared" si="199"/>
        <v>57.224112121212116</v>
      </c>
      <c r="AA369" s="40">
        <f>VLOOKUP(D369,[1]apoio_Preços_MGS!$A$6:$AN$238,32,FALSE)</f>
        <v>7.4153315575893357</v>
      </c>
      <c r="AB369" s="40">
        <f>VLOOKUP(D369,[1]apoio_Preços_MGS!$A$6:$AN$238,33,FALSE)</f>
        <v>19.965546666666668</v>
      </c>
      <c r="AC369" s="41">
        <f>VLOOKUP(D369,[1]apoio_Preços_MGS!$A$6:$AN$238,34,FALSE)</f>
        <v>3.7300615542660252E-2</v>
      </c>
      <c r="AD369" s="40">
        <f>(U369+W369+Z369+AB369+AA369+VLOOKUP(C369,[1]apoio_Prec_Folha!$A:$S,7,FALSE))*AC369</f>
        <v>307.26163960325533</v>
      </c>
      <c r="AE369" s="42">
        <f>VLOOKUP(D369,[1]apoio_Preços_MGS!$A$6:$AN$238,36,FALSE)</f>
        <v>7.0000000000000007E-2</v>
      </c>
      <c r="AF369" s="40">
        <f>(U369+W369+Z369+AB369+AD369+AA369+VLOOKUP(C369,[1]apoio_Prec_Folha!$A:$S,7,FALSE))*AE369</f>
        <v>598.12922194275654</v>
      </c>
      <c r="AG369" s="40">
        <f t="shared" si="200"/>
        <v>8564.4599999999991</v>
      </c>
      <c r="AH369" s="43">
        <f t="shared" si="201"/>
        <v>9987.7000000000007</v>
      </c>
      <c r="AI369" s="43">
        <f t="shared" si="202"/>
        <v>39950.800000000003</v>
      </c>
      <c r="AJ369" s="43">
        <f t="shared" si="203"/>
        <v>2237244.8000000003</v>
      </c>
      <c r="AK369" s="44">
        <f>VLOOKUP(D369,[1]apoio_Preços_MGS!$A$6:$AN$238,39,FALSE)</f>
        <v>200.00000000000003</v>
      </c>
      <c r="AL369" s="44">
        <f>IF(J369="demais municípios",VLOOKUP(D369,[1]apoio_Preços_MGS!$A$6:$AN$238,39,FALSE),0)</f>
        <v>200.00000000000003</v>
      </c>
      <c r="AM369" s="44">
        <v>0</v>
      </c>
      <c r="AN369" s="45">
        <f t="shared" si="208"/>
        <v>800.00000000000011</v>
      </c>
      <c r="AO369" s="44">
        <f>VLOOKUP(D369,[1]apoio_Preços_MGS!$A$6:$AN$238,40,FALSE)</f>
        <v>578.37</v>
      </c>
      <c r="AP369" s="44">
        <f>IF(J369="demais municípios",VLOOKUP(D369,[1]apoio_Preços_MGS!$A$6:$AN$238,40,FALSE),0)</f>
        <v>578.37</v>
      </c>
      <c r="AQ369" s="44">
        <v>0</v>
      </c>
      <c r="AR369" s="45">
        <f t="shared" si="209"/>
        <v>2313.48</v>
      </c>
      <c r="AS369" s="45">
        <f t="shared" si="188"/>
        <v>3113.48</v>
      </c>
      <c r="AT369" s="45">
        <f t="shared" si="189"/>
        <v>186808.8</v>
      </c>
      <c r="AU369" s="62"/>
      <c r="AV369" s="46"/>
      <c r="AW369" s="47"/>
      <c r="AX369" s="48"/>
      <c r="AY369" s="49"/>
      <c r="BA369" s="48"/>
    </row>
    <row r="370" spans="1:53" ht="19.5" customHeight="1" x14ac:dyDescent="0.25">
      <c r="A370" s="33" t="str">
        <f t="shared" si="184"/>
        <v>64270440,05</v>
      </c>
      <c r="B370" s="33" t="str">
        <f t="shared" si="185"/>
        <v>1060,05</v>
      </c>
      <c r="C370" s="34" t="str">
        <f>VLOOKUP(D370,[1]apoio_Preços_MGS!$A$6:$B$238,2,FALSE)</f>
        <v>MOTORISTA DE AMBULÂNCIA</v>
      </c>
      <c r="D370" s="35">
        <v>106</v>
      </c>
      <c r="E370" s="33" t="str">
        <f>VLOOKUP(D370,[1]apoio_Preços_MGS!$A$6:$F$238,6,FALSE)</f>
        <v>MOTORISTA DE AMBULÂNCIA - 12x36 DIURNO - 44H</v>
      </c>
      <c r="F370" s="36">
        <f>IFERROR(VLOOKUP(D370,'[1]apoio_cód catmas'!$B$2:$C$863,2,FALSE),0)</f>
        <v>64270</v>
      </c>
      <c r="G370" s="33" t="str">
        <f>IF(H370="N/A",VLOOKUP(F370&amp;40,'[1]apoio_cód catmas'!$A$1:$G$233,4,FALSE),VLOOKUP(F370&amp;H370,'[1]apoio_cód catmas'!$A$1:$G$233,4,FALSE))</f>
        <v>MOTORISTA DE AMBULANCIA - 12X36 DIURNO - 44H</v>
      </c>
      <c r="H370" s="36">
        <v>44</v>
      </c>
      <c r="I370" s="37">
        <v>0.05</v>
      </c>
      <c r="J370" s="38" t="s">
        <v>46</v>
      </c>
      <c r="K370" s="39">
        <f>52-K371</f>
        <v>4</v>
      </c>
      <c r="L370" s="39">
        <f t="shared" si="196"/>
        <v>240</v>
      </c>
      <c r="M370" s="40">
        <f>VLOOKUP(D370,[1]apoio_Preços_MGS!$A$6:$AN$238,18,FALSE)</f>
        <v>3862.1518529111127</v>
      </c>
      <c r="N370" s="40">
        <f>VLOOKUP(D370,[1]apoio_Preços_MGS!$A$6:$AN$238,19,FALSE)</f>
        <v>0</v>
      </c>
      <c r="O370" s="40">
        <f>VLOOKUP(D370,[1]apoio_Preços_MGS!$A$6:$AN$238,20,FALSE)</f>
        <v>0</v>
      </c>
      <c r="P370" s="40">
        <f>VLOOKUP(D370,[1]apoio_Preços_MGS!$A$6:$AN$238,21,FALSE)</f>
        <v>0</v>
      </c>
      <c r="Q370" s="40">
        <f>VLOOKUP(D370,[1]apoio_Preços_MGS!$A$6:$AN$238,22,FALSE)</f>
        <v>0</v>
      </c>
      <c r="R370" s="40">
        <f>VLOOKUP(D370,[1]apoio_Preços_MGS!$A$6:$AN$238,23,FALSE)</f>
        <v>0</v>
      </c>
      <c r="S370" s="40">
        <f>VLOOKUP(D370,[1]apoio_Preços_MGS!$A$6:$AN$238,24,FALSE)</f>
        <v>298.85698861812182</v>
      </c>
      <c r="T370" s="40">
        <f>VLOOKUP(D370,[1]apoio_Preços_MGS!$A$6:$AN$238,25,FALSE)</f>
        <v>5.3640997957098788</v>
      </c>
      <c r="U370" s="40">
        <f t="shared" si="171"/>
        <v>4166.3729413249448</v>
      </c>
      <c r="V370" s="41">
        <v>0.81799999999999995</v>
      </c>
      <c r="W370" s="40">
        <f t="shared" si="172"/>
        <v>3408.0930660038048</v>
      </c>
      <c r="X370" s="40">
        <f>VLOOKUP(D370,[1]apoio_Preços_MGS!$A$6:$AN$238,29,FALSE)</f>
        <v>44.339166666666664</v>
      </c>
      <c r="Y370" s="40">
        <f>VLOOKUP(D370,[1]apoio_Preços_MGS!$A$6:$AN$238,30,FALSE)</f>
        <v>12.884945454545454</v>
      </c>
      <c r="Z370" s="40">
        <f t="shared" si="199"/>
        <v>57.224112121212116</v>
      </c>
      <c r="AA370" s="40">
        <f>VLOOKUP(D370,[1]apoio_Preços_MGS!$A$6:$AN$238,32,FALSE)</f>
        <v>7.4153315575893357</v>
      </c>
      <c r="AB370" s="40">
        <f>VLOOKUP(D370,[1]apoio_Preços_MGS!$A$6:$AN$238,33,FALSE)</f>
        <v>19.965546666666668</v>
      </c>
      <c r="AC370" s="41">
        <f>VLOOKUP(D370,[1]apoio_Preços_MGS!$A$6:$AN$238,34,FALSE)</f>
        <v>3.7300615542660252E-2</v>
      </c>
      <c r="AD370" s="40">
        <f>(U370+W370+Z370+AB370+AA370+VLOOKUP(C370,[1]apoio_Prec_Folha!$A:$S,7,FALSE))*AC370</f>
        <v>307.26163960325533</v>
      </c>
      <c r="AE370" s="42">
        <f>VLOOKUP(D370,[1]apoio_Preços_MGS!$A$6:$AN$238,36,FALSE)</f>
        <v>7.0000000000000007E-2</v>
      </c>
      <c r="AF370" s="40">
        <f>(U370+W370+Z370+AB370+AD370+AA370+VLOOKUP(C370,[1]apoio_Prec_Folha!$A:$S,7,FALSE))*AE370</f>
        <v>598.12922194275654</v>
      </c>
      <c r="AG370" s="40">
        <f t="shared" si="200"/>
        <v>8564.4599999999991</v>
      </c>
      <c r="AH370" s="43">
        <f t="shared" si="201"/>
        <v>9987.7000000000007</v>
      </c>
      <c r="AI370" s="43">
        <f t="shared" si="202"/>
        <v>39950.800000000003</v>
      </c>
      <c r="AJ370" s="43">
        <f t="shared" si="203"/>
        <v>2397048</v>
      </c>
      <c r="AK370" s="44">
        <f>VLOOKUP(D370,[1]apoio_Preços_MGS!$A$6:$AN$238,39,FALSE)</f>
        <v>200.00000000000003</v>
      </c>
      <c r="AL370" s="44">
        <f>IF(J370="demais municípios",VLOOKUP(D370,[1]apoio_Preços_MGS!$A$6:$AN$238,39,FALSE),0)</f>
        <v>200.00000000000003</v>
      </c>
      <c r="AM370" s="44">
        <v>0</v>
      </c>
      <c r="AN370" s="45">
        <f t="shared" si="208"/>
        <v>800.00000000000011</v>
      </c>
      <c r="AO370" s="44">
        <f>VLOOKUP(D370,[1]apoio_Preços_MGS!$A$6:$AN$238,40,FALSE)</f>
        <v>578.37</v>
      </c>
      <c r="AP370" s="44">
        <f>IF(J370="demais municípios",VLOOKUP(D370,[1]apoio_Preços_MGS!$A$6:$AN$238,40,FALSE),0)</f>
        <v>578.37</v>
      </c>
      <c r="AQ370" s="44">
        <v>0</v>
      </c>
      <c r="AR370" s="45">
        <f t="shared" si="209"/>
        <v>2313.48</v>
      </c>
      <c r="AS370" s="45">
        <f t="shared" si="188"/>
        <v>3113.48</v>
      </c>
      <c r="AT370" s="45">
        <f t="shared" si="189"/>
        <v>186808.8</v>
      </c>
      <c r="AU370" s="62"/>
      <c r="AV370" s="46"/>
      <c r="AW370" s="47"/>
      <c r="AX370" s="48"/>
      <c r="AY370" s="49"/>
      <c r="BA370" s="48"/>
    </row>
    <row r="371" spans="1:53" ht="19.5" customHeight="1" x14ac:dyDescent="0.25">
      <c r="A371" s="33" t="str">
        <f t="shared" si="184"/>
        <v>64270440,05</v>
      </c>
      <c r="B371" s="33" t="str">
        <f t="shared" si="185"/>
        <v>1060,05</v>
      </c>
      <c r="C371" s="34" t="str">
        <f>VLOOKUP(D371,[1]apoio_Preços_MGS!$A$6:$B$238,2,FALSE)</f>
        <v>MOTORISTA DE AMBULÂNCIA</v>
      </c>
      <c r="D371" s="35">
        <v>106</v>
      </c>
      <c r="E371" s="33" t="str">
        <f>VLOOKUP(D371,[1]apoio_Preços_MGS!$A$6:$F$238,6,FALSE)</f>
        <v>MOTORISTA DE AMBULÂNCIA - 12x36 DIURNO - 44H</v>
      </c>
      <c r="F371" s="36">
        <f>IFERROR(VLOOKUP(D371,'[1]apoio_cód catmas'!$B$2:$C$863,2,FALSE),0)</f>
        <v>64270</v>
      </c>
      <c r="G371" s="33" t="str">
        <f>IF(H371="N/A",VLOOKUP(F371&amp;40,'[1]apoio_cód catmas'!$A$1:$G$233,4,FALSE),VLOOKUP(F371&amp;H371,'[1]apoio_cód catmas'!$A$1:$G$233,4,FALSE))</f>
        <v>MOTORISTA DE AMBULANCIA - 12X36 DIURNO - 44H</v>
      </c>
      <c r="H371" s="36">
        <v>44</v>
      </c>
      <c r="I371" s="37">
        <v>0.05</v>
      </c>
      <c r="J371" s="38" t="s">
        <v>47</v>
      </c>
      <c r="K371" s="39">
        <v>48</v>
      </c>
      <c r="L371" s="39">
        <f t="shared" si="196"/>
        <v>2880</v>
      </c>
      <c r="M371" s="40">
        <f>VLOOKUP(D371,[1]apoio_Preços_MGS!$A$6:$AN$238,18,FALSE)</f>
        <v>3862.1518529111127</v>
      </c>
      <c r="N371" s="40">
        <f>VLOOKUP(D371,[1]apoio_Preços_MGS!$A$6:$AN$238,19,FALSE)</f>
        <v>0</v>
      </c>
      <c r="O371" s="40">
        <f>VLOOKUP(D371,[1]apoio_Preços_MGS!$A$6:$AN$238,20,FALSE)</f>
        <v>0</v>
      </c>
      <c r="P371" s="40">
        <f>VLOOKUP(D371,[1]apoio_Preços_MGS!$A$6:$AN$238,21,FALSE)</f>
        <v>0</v>
      </c>
      <c r="Q371" s="40">
        <f>VLOOKUP(D371,[1]apoio_Preços_MGS!$A$6:$AN$238,22,FALSE)</f>
        <v>0</v>
      </c>
      <c r="R371" s="40">
        <f>VLOOKUP(D371,[1]apoio_Preços_MGS!$A$6:$AN$238,23,FALSE)</f>
        <v>0</v>
      </c>
      <c r="S371" s="40">
        <f>VLOOKUP(D371,[1]apoio_Preços_MGS!$A$6:$AN$238,24,FALSE)</f>
        <v>298.85698861812182</v>
      </c>
      <c r="T371" s="40">
        <f>VLOOKUP(D371,[1]apoio_Preços_MGS!$A$6:$AN$238,25,FALSE)</f>
        <v>5.3640997957098788</v>
      </c>
      <c r="U371" s="40">
        <f t="shared" si="171"/>
        <v>4166.3729413249448</v>
      </c>
      <c r="V371" s="41">
        <v>0.81799999999999995</v>
      </c>
      <c r="W371" s="40">
        <f t="shared" si="172"/>
        <v>3408.0930660038048</v>
      </c>
      <c r="X371" s="40">
        <f>VLOOKUP(D371,[1]apoio_Preços_MGS!$A$6:$AN$238,29,FALSE)</f>
        <v>44.339166666666664</v>
      </c>
      <c r="Y371" s="40">
        <f>VLOOKUP(D371,[1]apoio_Preços_MGS!$A$6:$AN$238,30,FALSE)</f>
        <v>12.884945454545454</v>
      </c>
      <c r="Z371" s="40">
        <f t="shared" si="199"/>
        <v>57.224112121212116</v>
      </c>
      <c r="AA371" s="40">
        <f>VLOOKUP(D371,[1]apoio_Preços_MGS!$A$6:$AN$238,32,FALSE)</f>
        <v>7.4153315575893357</v>
      </c>
      <c r="AB371" s="40">
        <f>VLOOKUP(D371,[1]apoio_Preços_MGS!$A$6:$AN$238,33,FALSE)</f>
        <v>19.965546666666668</v>
      </c>
      <c r="AC371" s="41">
        <f>VLOOKUP(D371,[1]apoio_Preços_MGS!$A$6:$AN$238,34,FALSE)</f>
        <v>3.7300615542660252E-2</v>
      </c>
      <c r="AD371" s="40">
        <f>(U371+W371+Z371+AB371+AA371+VLOOKUP(C371,[1]apoio_Prec_Folha!$A:$S,7,FALSE))*AC371</f>
        <v>307.26163960325533</v>
      </c>
      <c r="AE371" s="42">
        <f>VLOOKUP(D371,[1]apoio_Preços_MGS!$A$6:$AN$238,36,FALSE)</f>
        <v>7.0000000000000007E-2</v>
      </c>
      <c r="AF371" s="40">
        <f>(U371+W371+Z371+AB371+AD371+AA371+VLOOKUP(C371,[1]apoio_Prec_Folha!$A:$S,7,FALSE))*AE371</f>
        <v>598.12922194275654</v>
      </c>
      <c r="AG371" s="40">
        <f t="shared" si="200"/>
        <v>8564.4599999999991</v>
      </c>
      <c r="AH371" s="43">
        <f t="shared" si="201"/>
        <v>9987.7000000000007</v>
      </c>
      <c r="AI371" s="43">
        <f t="shared" si="202"/>
        <v>479409.60000000003</v>
      </c>
      <c r="AJ371" s="43">
        <f t="shared" si="203"/>
        <v>28764576.000000004</v>
      </c>
      <c r="AK371" s="44">
        <f>VLOOKUP(D371,[1]apoio_Preços_MGS!$A$6:$AN$238,39,FALSE)</f>
        <v>200.00000000000003</v>
      </c>
      <c r="AL371" s="44">
        <f>IF(J371="demais municípios",VLOOKUP(D371,[1]apoio_Preços_MGS!$A$6:$AN$238,39,FALSE),0)</f>
        <v>0</v>
      </c>
      <c r="AM371" s="44">
        <v>0</v>
      </c>
      <c r="AN371" s="45">
        <f t="shared" si="186"/>
        <v>0</v>
      </c>
      <c r="AO371" s="44">
        <f>VLOOKUP(D371,[1]apoio_Preços_MGS!$A$6:$AN$238,40,FALSE)</f>
        <v>578.37</v>
      </c>
      <c r="AP371" s="44">
        <f>IF(J371="demais municípios",VLOOKUP(D371,[1]apoio_Preços_MGS!$A$6:$AN$238,40,FALSE),0)</f>
        <v>0</v>
      </c>
      <c r="AQ371" s="44">
        <f>TRUNC(ROUND(($I371)/(1-($I371)),5)*VLOOKUP(D371,[1]apoio_Preços_MGS!$A$6:$AN$238,40,FALSE)+VLOOKUP(D371,[1]apoio_Preços_MGS!$A$6:$AN$238,40,FALSE),2)</f>
        <v>608.79999999999995</v>
      </c>
      <c r="AR371" s="45">
        <f t="shared" si="187"/>
        <v>29222.399999999998</v>
      </c>
      <c r="AS371" s="45">
        <f t="shared" si="188"/>
        <v>29222.399999999998</v>
      </c>
      <c r="AT371" s="45">
        <f t="shared" si="189"/>
        <v>1753343.9999999998</v>
      </c>
      <c r="AU371" s="62"/>
      <c r="AV371" s="46"/>
      <c r="AW371" s="47"/>
      <c r="AX371" s="48"/>
      <c r="AY371" s="49"/>
      <c r="BA371" s="48"/>
    </row>
    <row r="372" spans="1:53" ht="19.5" customHeight="1" x14ac:dyDescent="0.25">
      <c r="A372" s="33" t="str">
        <f t="shared" si="184"/>
        <v>63894440,03</v>
      </c>
      <c r="B372" s="33" t="str">
        <f t="shared" si="185"/>
        <v>1070,03</v>
      </c>
      <c r="C372" s="34" t="str">
        <f>VLOOKUP(D372,[1]apoio_Preços_MGS!$A$6:$B$238,2,FALSE)</f>
        <v>MOTORISTA DE AMBULÂNCIA</v>
      </c>
      <c r="D372" s="35">
        <v>107</v>
      </c>
      <c r="E372" s="33" t="str">
        <f>VLOOKUP(D372,[1]apoio_Preços_MGS!$A$6:$F$238,6,FALSE)</f>
        <v>MOTORISTA DE AMBULÂNCIA - 12x36 NOTURNO - 44H</v>
      </c>
      <c r="F372" s="36">
        <f>IFERROR(VLOOKUP(D372,'[1]apoio_cód catmas'!$B$2:$C$863,2,FALSE),0)</f>
        <v>63894</v>
      </c>
      <c r="G372" s="33" t="str">
        <f>IF(H372="N/A",VLOOKUP(F372&amp;40,'[1]apoio_cód catmas'!$A$1:$G$233,4,FALSE),VLOOKUP(F372&amp;H372,'[1]apoio_cód catmas'!$A$1:$G$233,4,FALSE))</f>
        <v>MOTORISTA DE AMBULANCIA - 12X36 NOTURNO - 44H</v>
      </c>
      <c r="H372" s="36">
        <v>44</v>
      </c>
      <c r="I372" s="37">
        <v>0.03</v>
      </c>
      <c r="J372" s="38" t="s">
        <v>46</v>
      </c>
      <c r="K372" s="39">
        <f>11-2</f>
        <v>9</v>
      </c>
      <c r="L372" s="39">
        <f t="shared" si="196"/>
        <v>540</v>
      </c>
      <c r="M372" s="40">
        <f>VLOOKUP(D372,[1]apoio_Preços_MGS!$A$6:$AN$238,18,FALSE)</f>
        <v>3862.1518529111127</v>
      </c>
      <c r="N372" s="40">
        <f>VLOOKUP(D372,[1]apoio_Preços_MGS!$A$6:$AN$238,19,FALSE)</f>
        <v>0</v>
      </c>
      <c r="O372" s="40">
        <f>VLOOKUP(D372,[1]apoio_Preços_MGS!$A$6:$AN$238,20,FALSE)</f>
        <v>899.72480268072763</v>
      </c>
      <c r="P372" s="40">
        <f>VLOOKUP(D372,[1]apoio_Preços_MGS!$A$6:$AN$238,21,FALSE)</f>
        <v>19.639611113122754</v>
      </c>
      <c r="Q372" s="40">
        <f>VLOOKUP(D372,[1]apoio_Preços_MGS!$A$6:$AN$238,22,FALSE)</f>
        <v>73.648519579647825</v>
      </c>
      <c r="R372" s="40">
        <f>VLOOKUP(D372,[1]apoio_Preços_MGS!$A$6:$AN$238,23,FALSE)</f>
        <v>0</v>
      </c>
      <c r="S372" s="40">
        <f>VLOOKUP(D372,[1]apoio_Preços_MGS!$A$6:$AN$238,24,FALSE)</f>
        <v>298.85698861812182</v>
      </c>
      <c r="T372" s="40">
        <f>VLOOKUP(D372,[1]apoio_Preços_MGS!$A$6:$AN$238,25,FALSE)</f>
        <v>5.3640997957098788</v>
      </c>
      <c r="U372" s="40">
        <f t="shared" si="171"/>
        <v>5159.3858746984424</v>
      </c>
      <c r="V372" s="41">
        <v>0.81799999999999995</v>
      </c>
      <c r="W372" s="40">
        <f t="shared" si="172"/>
        <v>4220.3776455033258</v>
      </c>
      <c r="X372" s="40">
        <f>VLOOKUP(D372,[1]apoio_Preços_MGS!$A$6:$AN$238,29,FALSE)</f>
        <v>44.339166666666664</v>
      </c>
      <c r="Y372" s="40">
        <f>VLOOKUP(D372,[1]apoio_Preços_MGS!$A$6:$AN$238,30,FALSE)</f>
        <v>12.884945454545454</v>
      </c>
      <c r="Z372" s="40">
        <f t="shared" si="199"/>
        <v>57.224112121212116</v>
      </c>
      <c r="AA372" s="40">
        <f>VLOOKUP(D372,[1]apoio_Preços_MGS!$A$6:$AN$238,32,FALSE)</f>
        <v>7.4153315575893357</v>
      </c>
      <c r="AB372" s="40">
        <f>VLOOKUP(D372,[1]apoio_Preços_MGS!$A$6:$AN$238,33,FALSE)</f>
        <v>19.965546666666668</v>
      </c>
      <c r="AC372" s="41">
        <f>VLOOKUP(D372,[1]apoio_Preços_MGS!$A$6:$AN$238,34,FALSE)</f>
        <v>3.7300615542660252E-2</v>
      </c>
      <c r="AD372" s="40">
        <f>(U372+W372+Z372+AB372+AA372+VLOOKUP(C372,[1]apoio_Prec_Folha!$A:$S,7,FALSE))*AC372</f>
        <v>374.60034807105251</v>
      </c>
      <c r="AE372" s="42">
        <f>VLOOKUP(D372,[1]apoio_Preços_MGS!$A$6:$AN$238,36,FALSE)</f>
        <v>7.0000000000000007E-2</v>
      </c>
      <c r="AF372" s="40">
        <f>(U372+W372+Z372+AB372+AD372+AA372+VLOOKUP(C372,[1]apoio_Prec_Folha!$A:$S,7,FALSE))*AE372</f>
        <v>729.21375743661361</v>
      </c>
      <c r="AG372" s="40">
        <f t="shared" si="200"/>
        <v>10568.18</v>
      </c>
      <c r="AH372" s="43">
        <f t="shared" si="201"/>
        <v>12043.49</v>
      </c>
      <c r="AI372" s="43">
        <f t="shared" si="202"/>
        <v>108391.41</v>
      </c>
      <c r="AJ372" s="43">
        <f t="shared" si="203"/>
        <v>6503484.5999999996</v>
      </c>
      <c r="AK372" s="44">
        <f>VLOOKUP(D372,[1]apoio_Preços_MGS!$A$6:$AN$238,39,FALSE)</f>
        <v>200.00000000000003</v>
      </c>
      <c r="AL372" s="44">
        <f>IF(J372="demais municípios",VLOOKUP(D372,[1]apoio_Preços_MGS!$A$6:$AN$238,39,FALSE),0)</f>
        <v>200.00000000000003</v>
      </c>
      <c r="AM372" s="44">
        <v>0</v>
      </c>
      <c r="AN372" s="45">
        <f t="shared" ref="AN372:AN376" si="210">AK372*K372</f>
        <v>1800.0000000000002</v>
      </c>
      <c r="AO372" s="44">
        <f>VLOOKUP(D372,[1]apoio_Preços_MGS!$A$6:$AN$238,40,FALSE)</f>
        <v>578.37</v>
      </c>
      <c r="AP372" s="44">
        <f>IF(J372="demais municípios",VLOOKUP(D372,[1]apoio_Preços_MGS!$A$6:$AN$238,40,FALSE),0)</f>
        <v>578.37</v>
      </c>
      <c r="AQ372" s="44">
        <v>0</v>
      </c>
      <c r="AR372" s="45">
        <f t="shared" ref="AR372:AR376" si="211">AO372*K372</f>
        <v>5205.33</v>
      </c>
      <c r="AS372" s="45">
        <f t="shared" si="188"/>
        <v>7005.33</v>
      </c>
      <c r="AT372" s="45">
        <f t="shared" si="189"/>
        <v>420319.8</v>
      </c>
      <c r="AU372" s="62"/>
      <c r="AV372" s="46"/>
      <c r="AW372" s="47"/>
      <c r="AX372" s="48"/>
      <c r="AY372" s="49"/>
      <c r="BA372" s="48"/>
    </row>
    <row r="373" spans="1:53" ht="19.5" customHeight="1" x14ac:dyDescent="0.25">
      <c r="A373" s="33" t="str">
        <f t="shared" si="184"/>
        <v>63894440,035</v>
      </c>
      <c r="B373" s="33" t="str">
        <f t="shared" si="185"/>
        <v>1070,035</v>
      </c>
      <c r="C373" s="34" t="str">
        <f>VLOOKUP(D373,[1]apoio_Preços_MGS!$A$6:$B$238,2,FALSE)</f>
        <v>MOTORISTA DE AMBULÂNCIA</v>
      </c>
      <c r="D373" s="35">
        <v>107</v>
      </c>
      <c r="E373" s="33" t="str">
        <f>VLOOKUP(D373,[1]apoio_Preços_MGS!$A$6:$F$238,6,FALSE)</f>
        <v>MOTORISTA DE AMBULÂNCIA - 12x36 NOTURNO - 44H</v>
      </c>
      <c r="F373" s="36">
        <f>IFERROR(VLOOKUP(D373,'[1]apoio_cód catmas'!$B$2:$C$863,2,FALSE),0)</f>
        <v>63894</v>
      </c>
      <c r="G373" s="33" t="str">
        <f>IF(H373="N/A",VLOOKUP(F373&amp;40,'[1]apoio_cód catmas'!$A$1:$G$233,4,FALSE),VLOOKUP(F373&amp;H373,'[1]apoio_cód catmas'!$A$1:$G$233,4,FALSE))</f>
        <v>MOTORISTA DE AMBULANCIA - 12X36 NOTURNO - 44H</v>
      </c>
      <c r="H373" s="36">
        <v>44</v>
      </c>
      <c r="I373" s="37">
        <v>3.5000000000000003E-2</v>
      </c>
      <c r="J373" s="38" t="s">
        <v>46</v>
      </c>
      <c r="K373" s="39">
        <v>4</v>
      </c>
      <c r="L373" s="39">
        <f t="shared" si="196"/>
        <v>240</v>
      </c>
      <c r="M373" s="40">
        <f>VLOOKUP(D373,[1]apoio_Preços_MGS!$A$6:$AN$238,18,FALSE)</f>
        <v>3862.1518529111127</v>
      </c>
      <c r="N373" s="40">
        <f>VLOOKUP(D373,[1]apoio_Preços_MGS!$A$6:$AN$238,19,FALSE)</f>
        <v>0</v>
      </c>
      <c r="O373" s="40">
        <f>VLOOKUP(D373,[1]apoio_Preços_MGS!$A$6:$AN$238,20,FALSE)</f>
        <v>899.72480268072763</v>
      </c>
      <c r="P373" s="40">
        <f>VLOOKUP(D373,[1]apoio_Preços_MGS!$A$6:$AN$238,21,FALSE)</f>
        <v>19.639611113122754</v>
      </c>
      <c r="Q373" s="40">
        <f>VLOOKUP(D373,[1]apoio_Preços_MGS!$A$6:$AN$238,22,FALSE)</f>
        <v>73.648519579647825</v>
      </c>
      <c r="R373" s="40">
        <f>VLOOKUP(D373,[1]apoio_Preços_MGS!$A$6:$AN$238,23,FALSE)</f>
        <v>0</v>
      </c>
      <c r="S373" s="40">
        <f>VLOOKUP(D373,[1]apoio_Preços_MGS!$A$6:$AN$238,24,FALSE)</f>
        <v>298.85698861812182</v>
      </c>
      <c r="T373" s="40">
        <f>VLOOKUP(D373,[1]apoio_Preços_MGS!$A$6:$AN$238,25,FALSE)</f>
        <v>5.3640997957098788</v>
      </c>
      <c r="U373" s="40">
        <f t="shared" si="171"/>
        <v>5159.3858746984424</v>
      </c>
      <c r="V373" s="41">
        <v>0.81799999999999995</v>
      </c>
      <c r="W373" s="40">
        <f t="shared" si="172"/>
        <v>4220.3776455033258</v>
      </c>
      <c r="X373" s="40">
        <f>VLOOKUP(D373,[1]apoio_Preços_MGS!$A$6:$AN$238,29,FALSE)</f>
        <v>44.339166666666664</v>
      </c>
      <c r="Y373" s="40">
        <f>VLOOKUP(D373,[1]apoio_Preços_MGS!$A$6:$AN$238,30,FALSE)</f>
        <v>12.884945454545454</v>
      </c>
      <c r="Z373" s="40">
        <f t="shared" si="199"/>
        <v>57.224112121212116</v>
      </c>
      <c r="AA373" s="40">
        <f>VLOOKUP(D373,[1]apoio_Preços_MGS!$A$6:$AN$238,32,FALSE)</f>
        <v>7.4153315575893357</v>
      </c>
      <c r="AB373" s="40">
        <f>VLOOKUP(D373,[1]apoio_Preços_MGS!$A$6:$AN$238,33,FALSE)</f>
        <v>19.965546666666668</v>
      </c>
      <c r="AC373" s="41">
        <f>VLOOKUP(D373,[1]apoio_Preços_MGS!$A$6:$AN$238,34,FALSE)</f>
        <v>3.7300615542660252E-2</v>
      </c>
      <c r="AD373" s="40">
        <f>(U373+W373+Z373+AB373+AA373+VLOOKUP(C373,[1]apoio_Prec_Folha!$A:$S,7,FALSE))*AC373</f>
        <v>374.60034807105251</v>
      </c>
      <c r="AE373" s="42">
        <f>VLOOKUP(D373,[1]apoio_Preços_MGS!$A$6:$AN$238,36,FALSE)</f>
        <v>7.0000000000000007E-2</v>
      </c>
      <c r="AF373" s="40">
        <f>(U373+W373+Z373+AB373+AD373+AA373+VLOOKUP(C373,[1]apoio_Prec_Folha!$A:$S,7,FALSE))*AE373</f>
        <v>729.21375743661361</v>
      </c>
      <c r="AG373" s="40">
        <f t="shared" si="200"/>
        <v>10568.18</v>
      </c>
      <c r="AH373" s="43">
        <f t="shared" si="201"/>
        <v>12112.5</v>
      </c>
      <c r="AI373" s="43">
        <f t="shared" si="202"/>
        <v>48450</v>
      </c>
      <c r="AJ373" s="43">
        <f t="shared" si="203"/>
        <v>2907000</v>
      </c>
      <c r="AK373" s="44">
        <f>VLOOKUP(D373,[1]apoio_Preços_MGS!$A$6:$AN$238,39,FALSE)</f>
        <v>200.00000000000003</v>
      </c>
      <c r="AL373" s="44">
        <f>IF(J373="demais municípios",VLOOKUP(D373,[1]apoio_Preços_MGS!$A$6:$AN$238,39,FALSE),0)</f>
        <v>200.00000000000003</v>
      </c>
      <c r="AM373" s="44">
        <v>0</v>
      </c>
      <c r="AN373" s="45">
        <f t="shared" si="210"/>
        <v>800.00000000000011</v>
      </c>
      <c r="AO373" s="44">
        <f>VLOOKUP(D373,[1]apoio_Preços_MGS!$A$6:$AN$238,40,FALSE)</f>
        <v>578.37</v>
      </c>
      <c r="AP373" s="44">
        <f>IF(J373="demais municípios",VLOOKUP(D373,[1]apoio_Preços_MGS!$A$6:$AN$238,40,FALSE),0)</f>
        <v>578.37</v>
      </c>
      <c r="AQ373" s="44">
        <v>0</v>
      </c>
      <c r="AR373" s="45">
        <f t="shared" si="211"/>
        <v>2313.48</v>
      </c>
      <c r="AS373" s="45">
        <f t="shared" si="188"/>
        <v>3113.48</v>
      </c>
      <c r="AT373" s="45">
        <f t="shared" si="189"/>
        <v>186808.8</v>
      </c>
      <c r="AU373" s="62"/>
      <c r="AV373" s="46"/>
      <c r="AW373" s="47"/>
      <c r="AX373" s="48"/>
      <c r="AY373" s="49"/>
      <c r="BA373" s="48"/>
    </row>
    <row r="374" spans="1:53" ht="19.5" customHeight="1" x14ac:dyDescent="0.25">
      <c r="A374" s="33" t="str">
        <f t="shared" si="184"/>
        <v>63894440,038</v>
      </c>
      <c r="B374" s="33" t="str">
        <f t="shared" si="185"/>
        <v>1070,038</v>
      </c>
      <c r="C374" s="34" t="str">
        <f>VLOOKUP(D374,[1]apoio_Preços_MGS!$A$6:$B$238,2,FALSE)</f>
        <v>MOTORISTA DE AMBULÂNCIA</v>
      </c>
      <c r="D374" s="35">
        <v>107</v>
      </c>
      <c r="E374" s="33" t="str">
        <f>VLOOKUP(D374,[1]apoio_Preços_MGS!$A$6:$F$238,6,FALSE)</f>
        <v>MOTORISTA DE AMBULÂNCIA - 12x36 NOTURNO - 44H</v>
      </c>
      <c r="F374" s="36">
        <f>IFERROR(VLOOKUP(D374,'[1]apoio_cód catmas'!$B$2:$C$863,2,FALSE),0)</f>
        <v>63894</v>
      </c>
      <c r="G374" s="33" t="str">
        <f>IF(H374="N/A",VLOOKUP(F374&amp;40,'[1]apoio_cód catmas'!$A$1:$G$233,4,FALSE),VLOOKUP(F374&amp;H374,'[1]apoio_cód catmas'!$A$1:$G$233,4,FALSE))</f>
        <v>MOTORISTA DE AMBULANCIA - 12X36 NOTURNO - 44H</v>
      </c>
      <c r="H374" s="36">
        <v>44</v>
      </c>
      <c r="I374" s="37">
        <v>3.7999999999999999E-2</v>
      </c>
      <c r="J374" s="38" t="s">
        <v>46</v>
      </c>
      <c r="K374" s="39">
        <v>2</v>
      </c>
      <c r="L374" s="39">
        <f t="shared" si="196"/>
        <v>120</v>
      </c>
      <c r="M374" s="40">
        <f>VLOOKUP(D374,[1]apoio_Preços_MGS!$A$6:$AN$238,18,FALSE)</f>
        <v>3862.1518529111127</v>
      </c>
      <c r="N374" s="40">
        <f>VLOOKUP(D374,[1]apoio_Preços_MGS!$A$6:$AN$238,19,FALSE)</f>
        <v>0</v>
      </c>
      <c r="O374" s="40">
        <f>VLOOKUP(D374,[1]apoio_Preços_MGS!$A$6:$AN$238,20,FALSE)</f>
        <v>899.72480268072763</v>
      </c>
      <c r="P374" s="40">
        <f>VLOOKUP(D374,[1]apoio_Preços_MGS!$A$6:$AN$238,21,FALSE)</f>
        <v>19.639611113122754</v>
      </c>
      <c r="Q374" s="40">
        <f>VLOOKUP(D374,[1]apoio_Preços_MGS!$A$6:$AN$238,22,FALSE)</f>
        <v>73.648519579647825</v>
      </c>
      <c r="R374" s="40">
        <f>VLOOKUP(D374,[1]apoio_Preços_MGS!$A$6:$AN$238,23,FALSE)</f>
        <v>0</v>
      </c>
      <c r="S374" s="40">
        <f>VLOOKUP(D374,[1]apoio_Preços_MGS!$A$6:$AN$238,24,FALSE)</f>
        <v>298.85698861812182</v>
      </c>
      <c r="T374" s="40">
        <f>VLOOKUP(D374,[1]apoio_Preços_MGS!$A$6:$AN$238,25,FALSE)</f>
        <v>5.3640997957098788</v>
      </c>
      <c r="U374" s="40">
        <f t="shared" si="171"/>
        <v>5159.3858746984424</v>
      </c>
      <c r="V374" s="41">
        <v>0.81799999999999995</v>
      </c>
      <c r="W374" s="40">
        <f t="shared" si="172"/>
        <v>4220.3776455033258</v>
      </c>
      <c r="X374" s="40">
        <f>VLOOKUP(D374,[1]apoio_Preços_MGS!$A$6:$AN$238,29,FALSE)</f>
        <v>44.339166666666664</v>
      </c>
      <c r="Y374" s="40">
        <f>VLOOKUP(D374,[1]apoio_Preços_MGS!$A$6:$AN$238,30,FALSE)</f>
        <v>12.884945454545454</v>
      </c>
      <c r="Z374" s="40">
        <f t="shared" si="199"/>
        <v>57.224112121212116</v>
      </c>
      <c r="AA374" s="40">
        <f>VLOOKUP(D374,[1]apoio_Preços_MGS!$A$6:$AN$238,32,FALSE)</f>
        <v>7.4153315575893357</v>
      </c>
      <c r="AB374" s="40">
        <f>VLOOKUP(D374,[1]apoio_Preços_MGS!$A$6:$AN$238,33,FALSE)</f>
        <v>19.965546666666668</v>
      </c>
      <c r="AC374" s="41">
        <f>VLOOKUP(D374,[1]apoio_Preços_MGS!$A$6:$AN$238,34,FALSE)</f>
        <v>3.7300615542660252E-2</v>
      </c>
      <c r="AD374" s="40">
        <f>(U374+W374+Z374+AB374+AA374+VLOOKUP(C374,[1]apoio_Prec_Folha!$A:$S,7,FALSE))*AC374</f>
        <v>374.60034807105251</v>
      </c>
      <c r="AE374" s="42">
        <f>VLOOKUP(D374,[1]apoio_Preços_MGS!$A$6:$AN$238,36,FALSE)</f>
        <v>7.0000000000000007E-2</v>
      </c>
      <c r="AF374" s="40">
        <f>(U374+W374+Z374+AB374+AD374+AA374+VLOOKUP(C374,[1]apoio_Prec_Folha!$A:$S,7,FALSE))*AE374</f>
        <v>729.21375743661361</v>
      </c>
      <c r="AG374" s="40">
        <f t="shared" si="200"/>
        <v>10568.18</v>
      </c>
      <c r="AH374" s="43">
        <f t="shared" si="201"/>
        <v>12154.35</v>
      </c>
      <c r="AI374" s="43">
        <f t="shared" si="202"/>
        <v>24308.7</v>
      </c>
      <c r="AJ374" s="43">
        <f t="shared" si="203"/>
        <v>1458522</v>
      </c>
      <c r="AK374" s="44">
        <f>VLOOKUP(D374,[1]apoio_Preços_MGS!$A$6:$AN$238,39,FALSE)</f>
        <v>200.00000000000003</v>
      </c>
      <c r="AL374" s="44">
        <f>IF(J374="demais municípios",VLOOKUP(D374,[1]apoio_Preços_MGS!$A$6:$AN$238,39,FALSE),0)</f>
        <v>200.00000000000003</v>
      </c>
      <c r="AM374" s="44">
        <v>0</v>
      </c>
      <c r="AN374" s="45">
        <f t="shared" si="210"/>
        <v>400.00000000000006</v>
      </c>
      <c r="AO374" s="44">
        <f>VLOOKUP(D374,[1]apoio_Preços_MGS!$A$6:$AN$238,40,FALSE)</f>
        <v>578.37</v>
      </c>
      <c r="AP374" s="44">
        <f>IF(J374="demais municípios",VLOOKUP(D374,[1]apoio_Preços_MGS!$A$6:$AN$238,40,FALSE),0)</f>
        <v>578.37</v>
      </c>
      <c r="AQ374" s="44">
        <v>0</v>
      </c>
      <c r="AR374" s="45">
        <f t="shared" si="211"/>
        <v>1156.74</v>
      </c>
      <c r="AS374" s="45">
        <f t="shared" si="188"/>
        <v>1556.74</v>
      </c>
      <c r="AT374" s="45">
        <f t="shared" si="189"/>
        <v>93404.4</v>
      </c>
      <c r="AU374" s="62"/>
      <c r="AV374" s="46"/>
      <c r="AW374" s="47"/>
      <c r="AX374" s="48"/>
      <c r="AY374" s="49"/>
      <c r="BA374" s="48"/>
    </row>
    <row r="375" spans="1:53" ht="19.5" customHeight="1" x14ac:dyDescent="0.25">
      <c r="A375" s="33" t="str">
        <f t="shared" si="184"/>
        <v>63894440,05</v>
      </c>
      <c r="B375" s="33" t="str">
        <f t="shared" si="185"/>
        <v>1070,05</v>
      </c>
      <c r="C375" s="34" t="str">
        <f>VLOOKUP(D375,[1]apoio_Preços_MGS!$A$6:$B$238,2,FALSE)</f>
        <v>MOTORISTA DE AMBULÂNCIA</v>
      </c>
      <c r="D375" s="35">
        <v>107</v>
      </c>
      <c r="E375" s="33" t="str">
        <f>VLOOKUP(D375,[1]apoio_Preços_MGS!$A$6:$F$238,6,FALSE)</f>
        <v>MOTORISTA DE AMBULÂNCIA - 12x36 NOTURNO - 44H</v>
      </c>
      <c r="F375" s="36">
        <f>IFERROR(VLOOKUP(D375,'[1]apoio_cód catmas'!$B$2:$C$863,2,FALSE),0)</f>
        <v>63894</v>
      </c>
      <c r="G375" s="33" t="str">
        <f>IF(H375="N/A",VLOOKUP(F375&amp;40,'[1]apoio_cód catmas'!$A$1:$G$233,4,FALSE),VLOOKUP(F375&amp;H375,'[1]apoio_cód catmas'!$A$1:$G$233,4,FALSE))</f>
        <v>MOTORISTA DE AMBULANCIA - 12X36 NOTURNO - 44H</v>
      </c>
      <c r="H375" s="36">
        <v>44</v>
      </c>
      <c r="I375" s="37">
        <v>0.05</v>
      </c>
      <c r="J375" s="38" t="s">
        <v>46</v>
      </c>
      <c r="K375" s="39">
        <v>2</v>
      </c>
      <c r="L375" s="39">
        <f>K375*56</f>
        <v>112</v>
      </c>
      <c r="M375" s="40">
        <f>VLOOKUP(D375,[1]apoio_Preços_MGS!$A$6:$AN$238,18,FALSE)</f>
        <v>3862.1518529111127</v>
      </c>
      <c r="N375" s="40">
        <f>VLOOKUP(D375,[1]apoio_Preços_MGS!$A$6:$AN$238,19,FALSE)</f>
        <v>0</v>
      </c>
      <c r="O375" s="40">
        <f>VLOOKUP(D375,[1]apoio_Preços_MGS!$A$6:$AN$238,20,FALSE)</f>
        <v>899.72480268072763</v>
      </c>
      <c r="P375" s="40">
        <f>VLOOKUP(D375,[1]apoio_Preços_MGS!$A$6:$AN$238,21,FALSE)</f>
        <v>19.639611113122754</v>
      </c>
      <c r="Q375" s="40">
        <f>VLOOKUP(D375,[1]apoio_Preços_MGS!$A$6:$AN$238,22,FALSE)</f>
        <v>73.648519579647825</v>
      </c>
      <c r="R375" s="40">
        <f>VLOOKUP(D375,[1]apoio_Preços_MGS!$A$6:$AN$238,23,FALSE)</f>
        <v>0</v>
      </c>
      <c r="S375" s="40">
        <f>VLOOKUP(D375,[1]apoio_Preços_MGS!$A$6:$AN$238,24,FALSE)</f>
        <v>298.85698861812182</v>
      </c>
      <c r="T375" s="40">
        <f>VLOOKUP(D375,[1]apoio_Preços_MGS!$A$6:$AN$238,25,FALSE)</f>
        <v>5.3640997957098788</v>
      </c>
      <c r="U375" s="40">
        <f t="shared" si="171"/>
        <v>5159.3858746984424</v>
      </c>
      <c r="V375" s="41">
        <v>0.81799999999999995</v>
      </c>
      <c r="W375" s="40">
        <f t="shared" si="172"/>
        <v>4220.3776455033258</v>
      </c>
      <c r="X375" s="40">
        <f>VLOOKUP(D375,[1]apoio_Preços_MGS!$A$6:$AN$238,29,FALSE)</f>
        <v>44.339166666666664</v>
      </c>
      <c r="Y375" s="40">
        <f>VLOOKUP(D375,[1]apoio_Preços_MGS!$A$6:$AN$238,30,FALSE)</f>
        <v>12.884945454545454</v>
      </c>
      <c r="Z375" s="40">
        <f t="shared" si="199"/>
        <v>57.224112121212116</v>
      </c>
      <c r="AA375" s="40">
        <f>VLOOKUP(D375,[1]apoio_Preços_MGS!$A$6:$AN$238,32,FALSE)</f>
        <v>7.4153315575893357</v>
      </c>
      <c r="AB375" s="40">
        <f>VLOOKUP(D375,[1]apoio_Preços_MGS!$A$6:$AN$238,33,FALSE)</f>
        <v>19.965546666666668</v>
      </c>
      <c r="AC375" s="41">
        <f>VLOOKUP(D375,[1]apoio_Preços_MGS!$A$6:$AN$238,34,FALSE)</f>
        <v>3.7300615542660252E-2</v>
      </c>
      <c r="AD375" s="40">
        <f>(U375+W375+Z375+AB375+AA375+VLOOKUP(C375,[1]apoio_Prec_Folha!$A:$S,7,FALSE))*AC375</f>
        <v>374.60034807105251</v>
      </c>
      <c r="AE375" s="42">
        <f>VLOOKUP(D375,[1]apoio_Preços_MGS!$A$6:$AN$238,36,FALSE)</f>
        <v>7.0000000000000007E-2</v>
      </c>
      <c r="AF375" s="40">
        <f>(U375+W375+Z375+AB375+AD375+AA375+VLOOKUP(C375,[1]apoio_Prec_Folha!$A:$S,7,FALSE))*AE375</f>
        <v>729.21375743661361</v>
      </c>
      <c r="AG375" s="40">
        <f t="shared" si="200"/>
        <v>10568.18</v>
      </c>
      <c r="AH375" s="43">
        <f t="shared" si="201"/>
        <v>12324.4</v>
      </c>
      <c r="AI375" s="43">
        <f t="shared" si="202"/>
        <v>24648.799999999999</v>
      </c>
      <c r="AJ375" s="43">
        <f t="shared" si="203"/>
        <v>1380332.8</v>
      </c>
      <c r="AK375" s="44">
        <f>VLOOKUP(D375,[1]apoio_Preços_MGS!$A$6:$AN$238,39,FALSE)</f>
        <v>200.00000000000003</v>
      </c>
      <c r="AL375" s="44">
        <f>IF(J375="demais municípios",VLOOKUP(D375,[1]apoio_Preços_MGS!$A$6:$AN$238,39,FALSE),0)</f>
        <v>200.00000000000003</v>
      </c>
      <c r="AM375" s="44">
        <v>0</v>
      </c>
      <c r="AN375" s="45">
        <f t="shared" si="210"/>
        <v>400.00000000000006</v>
      </c>
      <c r="AO375" s="44">
        <f>VLOOKUP(D375,[1]apoio_Preços_MGS!$A$6:$AN$238,40,FALSE)</f>
        <v>578.37</v>
      </c>
      <c r="AP375" s="44">
        <f>IF(J375="demais municípios",VLOOKUP(D375,[1]apoio_Preços_MGS!$A$6:$AN$238,40,FALSE),0)</f>
        <v>578.37</v>
      </c>
      <c r="AQ375" s="44">
        <v>0</v>
      </c>
      <c r="AR375" s="45">
        <f t="shared" si="211"/>
        <v>1156.74</v>
      </c>
      <c r="AS375" s="45">
        <f t="shared" si="188"/>
        <v>1556.74</v>
      </c>
      <c r="AT375" s="45">
        <f t="shared" si="189"/>
        <v>93404.4</v>
      </c>
      <c r="AU375" s="62"/>
      <c r="AV375" s="46"/>
      <c r="AW375" s="47"/>
      <c r="AX375" s="48"/>
      <c r="AY375" s="49"/>
      <c r="BA375" s="48"/>
    </row>
    <row r="376" spans="1:53" ht="19.5" customHeight="1" x14ac:dyDescent="0.25">
      <c r="A376" s="33" t="str">
        <f t="shared" si="184"/>
        <v>63894440,05</v>
      </c>
      <c r="B376" s="33" t="str">
        <f t="shared" si="185"/>
        <v>1070,05</v>
      </c>
      <c r="C376" s="34" t="str">
        <f>VLOOKUP(D376,[1]apoio_Preços_MGS!$A$6:$B$238,2,FALSE)</f>
        <v>MOTORISTA DE AMBULÂNCIA</v>
      </c>
      <c r="D376" s="35">
        <v>107</v>
      </c>
      <c r="E376" s="33" t="str">
        <f>VLOOKUP(D376,[1]apoio_Preços_MGS!$A$6:$F$238,6,FALSE)</f>
        <v>MOTORISTA DE AMBULÂNCIA - 12x36 NOTURNO - 44H</v>
      </c>
      <c r="F376" s="36">
        <f>IFERROR(VLOOKUP(D376,'[1]apoio_cód catmas'!$B$2:$C$863,2,FALSE),0)</f>
        <v>63894</v>
      </c>
      <c r="G376" s="33" t="str">
        <f>IF(H376="N/A",VLOOKUP(F376&amp;40,'[1]apoio_cód catmas'!$A$1:$G$233,4,FALSE),VLOOKUP(F376&amp;H376,'[1]apoio_cód catmas'!$A$1:$G$233,4,FALSE))</f>
        <v>MOTORISTA DE AMBULANCIA - 12X36 NOTURNO - 44H</v>
      </c>
      <c r="H376" s="36">
        <v>44</v>
      </c>
      <c r="I376" s="37">
        <v>0.05</v>
      </c>
      <c r="J376" s="38" t="s">
        <v>46</v>
      </c>
      <c r="K376" s="39">
        <f>28-K377</f>
        <v>2</v>
      </c>
      <c r="L376" s="39">
        <f t="shared" si="196"/>
        <v>120</v>
      </c>
      <c r="M376" s="40">
        <f>VLOOKUP(D376,[1]apoio_Preços_MGS!$A$6:$AN$238,18,FALSE)</f>
        <v>3862.1518529111127</v>
      </c>
      <c r="N376" s="40">
        <f>VLOOKUP(D376,[1]apoio_Preços_MGS!$A$6:$AN$238,19,FALSE)</f>
        <v>0</v>
      </c>
      <c r="O376" s="40">
        <f>VLOOKUP(D376,[1]apoio_Preços_MGS!$A$6:$AN$238,20,FALSE)</f>
        <v>899.72480268072763</v>
      </c>
      <c r="P376" s="40">
        <f>VLOOKUP(D376,[1]apoio_Preços_MGS!$A$6:$AN$238,21,FALSE)</f>
        <v>19.639611113122754</v>
      </c>
      <c r="Q376" s="40">
        <f>VLOOKUP(D376,[1]apoio_Preços_MGS!$A$6:$AN$238,22,FALSE)</f>
        <v>73.648519579647825</v>
      </c>
      <c r="R376" s="40">
        <f>VLOOKUP(D376,[1]apoio_Preços_MGS!$A$6:$AN$238,23,FALSE)</f>
        <v>0</v>
      </c>
      <c r="S376" s="40">
        <f>VLOOKUP(D376,[1]apoio_Preços_MGS!$A$6:$AN$238,24,FALSE)</f>
        <v>298.85698861812182</v>
      </c>
      <c r="T376" s="40">
        <f>VLOOKUP(D376,[1]apoio_Preços_MGS!$A$6:$AN$238,25,FALSE)</f>
        <v>5.3640997957098788</v>
      </c>
      <c r="U376" s="40">
        <f t="shared" si="171"/>
        <v>5159.3858746984424</v>
      </c>
      <c r="V376" s="41">
        <v>0.81799999999999995</v>
      </c>
      <c r="W376" s="40">
        <f t="shared" si="172"/>
        <v>4220.3776455033258</v>
      </c>
      <c r="X376" s="40">
        <f>VLOOKUP(D376,[1]apoio_Preços_MGS!$A$6:$AN$238,29,FALSE)</f>
        <v>44.339166666666664</v>
      </c>
      <c r="Y376" s="40">
        <f>VLOOKUP(D376,[1]apoio_Preços_MGS!$A$6:$AN$238,30,FALSE)</f>
        <v>12.884945454545454</v>
      </c>
      <c r="Z376" s="40">
        <f t="shared" si="199"/>
        <v>57.224112121212116</v>
      </c>
      <c r="AA376" s="40">
        <f>VLOOKUP(D376,[1]apoio_Preços_MGS!$A$6:$AN$238,32,FALSE)</f>
        <v>7.4153315575893357</v>
      </c>
      <c r="AB376" s="40">
        <f>VLOOKUP(D376,[1]apoio_Preços_MGS!$A$6:$AN$238,33,FALSE)</f>
        <v>19.965546666666668</v>
      </c>
      <c r="AC376" s="41">
        <f>VLOOKUP(D376,[1]apoio_Preços_MGS!$A$6:$AN$238,34,FALSE)</f>
        <v>3.7300615542660252E-2</v>
      </c>
      <c r="AD376" s="40">
        <f>(U376+W376+Z376+AB376+AA376+VLOOKUP(C376,[1]apoio_Prec_Folha!$A:$S,7,FALSE))*AC376</f>
        <v>374.60034807105251</v>
      </c>
      <c r="AE376" s="42">
        <f>VLOOKUP(D376,[1]apoio_Preços_MGS!$A$6:$AN$238,36,FALSE)</f>
        <v>7.0000000000000007E-2</v>
      </c>
      <c r="AF376" s="40">
        <f>(U376+W376+Z376+AB376+AD376+AA376+VLOOKUP(C376,[1]apoio_Prec_Folha!$A:$S,7,FALSE))*AE376</f>
        <v>729.21375743661361</v>
      </c>
      <c r="AG376" s="40">
        <f t="shared" si="200"/>
        <v>10568.18</v>
      </c>
      <c r="AH376" s="43">
        <f t="shared" si="201"/>
        <v>12324.4</v>
      </c>
      <c r="AI376" s="43">
        <f t="shared" si="202"/>
        <v>24648.799999999999</v>
      </c>
      <c r="AJ376" s="43">
        <f t="shared" si="203"/>
        <v>1478928</v>
      </c>
      <c r="AK376" s="44">
        <f>VLOOKUP(D376,[1]apoio_Preços_MGS!$A$6:$AN$238,39,FALSE)</f>
        <v>200.00000000000003</v>
      </c>
      <c r="AL376" s="44">
        <f>IF(J376="demais municípios",VLOOKUP(D376,[1]apoio_Preços_MGS!$A$6:$AN$238,39,FALSE),0)</f>
        <v>200.00000000000003</v>
      </c>
      <c r="AM376" s="44">
        <v>0</v>
      </c>
      <c r="AN376" s="45">
        <f t="shared" si="210"/>
        <v>400.00000000000006</v>
      </c>
      <c r="AO376" s="44">
        <f>VLOOKUP(D376,[1]apoio_Preços_MGS!$A$6:$AN$238,40,FALSE)</f>
        <v>578.37</v>
      </c>
      <c r="AP376" s="44">
        <f>IF(J376="demais municípios",VLOOKUP(D376,[1]apoio_Preços_MGS!$A$6:$AN$238,40,FALSE),0)</f>
        <v>578.37</v>
      </c>
      <c r="AQ376" s="44">
        <v>0</v>
      </c>
      <c r="AR376" s="45">
        <f t="shared" si="211"/>
        <v>1156.74</v>
      </c>
      <c r="AS376" s="45">
        <f t="shared" si="188"/>
        <v>1556.74</v>
      </c>
      <c r="AT376" s="45">
        <f t="shared" si="189"/>
        <v>93404.4</v>
      </c>
      <c r="AU376" s="62"/>
      <c r="AV376" s="46"/>
      <c r="AW376" s="47"/>
      <c r="AX376" s="48"/>
      <c r="AY376" s="49"/>
      <c r="BA376" s="48"/>
    </row>
    <row r="377" spans="1:53" ht="19.5" customHeight="1" x14ac:dyDescent="0.25">
      <c r="A377" s="33" t="str">
        <f t="shared" si="184"/>
        <v>63894440,05</v>
      </c>
      <c r="B377" s="33" t="str">
        <f t="shared" si="185"/>
        <v>1070,05</v>
      </c>
      <c r="C377" s="34" t="str">
        <f>VLOOKUP(D377,[1]apoio_Preços_MGS!$A$6:$B$238,2,FALSE)</f>
        <v>MOTORISTA DE AMBULÂNCIA</v>
      </c>
      <c r="D377" s="35">
        <v>107</v>
      </c>
      <c r="E377" s="33" t="str">
        <f>VLOOKUP(D377,[1]apoio_Preços_MGS!$A$6:$F$238,6,FALSE)</f>
        <v>MOTORISTA DE AMBULÂNCIA - 12x36 NOTURNO - 44H</v>
      </c>
      <c r="F377" s="36">
        <f>IFERROR(VLOOKUP(D377,'[1]apoio_cód catmas'!$B$2:$C$863,2,FALSE),0)</f>
        <v>63894</v>
      </c>
      <c r="G377" s="33" t="str">
        <f>IF(H377="N/A",VLOOKUP(F377&amp;40,'[1]apoio_cód catmas'!$A$1:$G$233,4,FALSE),VLOOKUP(F377&amp;H377,'[1]apoio_cód catmas'!$A$1:$G$233,4,FALSE))</f>
        <v>MOTORISTA DE AMBULANCIA - 12X36 NOTURNO - 44H</v>
      </c>
      <c r="H377" s="36">
        <v>44</v>
      </c>
      <c r="I377" s="37">
        <v>0.05</v>
      </c>
      <c r="J377" s="38" t="s">
        <v>47</v>
      </c>
      <c r="K377" s="39">
        <v>26</v>
      </c>
      <c r="L377" s="39">
        <f t="shared" si="196"/>
        <v>1560</v>
      </c>
      <c r="M377" s="40">
        <f>VLOOKUP(D377,[1]apoio_Preços_MGS!$A$6:$AN$238,18,FALSE)</f>
        <v>3862.1518529111127</v>
      </c>
      <c r="N377" s="40">
        <f>VLOOKUP(D377,[1]apoio_Preços_MGS!$A$6:$AN$238,19,FALSE)</f>
        <v>0</v>
      </c>
      <c r="O377" s="40">
        <f>VLOOKUP(D377,[1]apoio_Preços_MGS!$A$6:$AN$238,20,FALSE)</f>
        <v>899.72480268072763</v>
      </c>
      <c r="P377" s="40">
        <f>VLOOKUP(D377,[1]apoio_Preços_MGS!$A$6:$AN$238,21,FALSE)</f>
        <v>19.639611113122754</v>
      </c>
      <c r="Q377" s="40">
        <f>VLOOKUP(D377,[1]apoio_Preços_MGS!$A$6:$AN$238,22,FALSE)</f>
        <v>73.648519579647825</v>
      </c>
      <c r="R377" s="40">
        <f>VLOOKUP(D377,[1]apoio_Preços_MGS!$A$6:$AN$238,23,FALSE)</f>
        <v>0</v>
      </c>
      <c r="S377" s="40">
        <f>VLOOKUP(D377,[1]apoio_Preços_MGS!$A$6:$AN$238,24,FALSE)</f>
        <v>298.85698861812182</v>
      </c>
      <c r="T377" s="40">
        <f>VLOOKUP(D377,[1]apoio_Preços_MGS!$A$6:$AN$238,25,FALSE)</f>
        <v>5.3640997957098788</v>
      </c>
      <c r="U377" s="40">
        <f t="shared" si="171"/>
        <v>5159.3858746984424</v>
      </c>
      <c r="V377" s="41">
        <v>0.81799999999999995</v>
      </c>
      <c r="W377" s="40">
        <f t="shared" si="172"/>
        <v>4220.3776455033258</v>
      </c>
      <c r="X377" s="40">
        <f>VLOOKUP(D377,[1]apoio_Preços_MGS!$A$6:$AN$238,29,FALSE)</f>
        <v>44.339166666666664</v>
      </c>
      <c r="Y377" s="40">
        <f>VLOOKUP(D377,[1]apoio_Preços_MGS!$A$6:$AN$238,30,FALSE)</f>
        <v>12.884945454545454</v>
      </c>
      <c r="Z377" s="40">
        <f t="shared" si="199"/>
        <v>57.224112121212116</v>
      </c>
      <c r="AA377" s="40">
        <f>VLOOKUP(D377,[1]apoio_Preços_MGS!$A$6:$AN$238,32,FALSE)</f>
        <v>7.4153315575893357</v>
      </c>
      <c r="AB377" s="40">
        <f>VLOOKUP(D377,[1]apoio_Preços_MGS!$A$6:$AN$238,33,FALSE)</f>
        <v>19.965546666666668</v>
      </c>
      <c r="AC377" s="41">
        <f>VLOOKUP(D377,[1]apoio_Preços_MGS!$A$6:$AN$238,34,FALSE)</f>
        <v>3.7300615542660252E-2</v>
      </c>
      <c r="AD377" s="40">
        <f>(U377+W377+Z377+AB377+AA377+VLOOKUP(C377,[1]apoio_Prec_Folha!$A:$S,7,FALSE))*AC377</f>
        <v>374.60034807105251</v>
      </c>
      <c r="AE377" s="42">
        <f>VLOOKUP(D377,[1]apoio_Preços_MGS!$A$6:$AN$238,36,FALSE)</f>
        <v>7.0000000000000007E-2</v>
      </c>
      <c r="AF377" s="40">
        <f>(U377+W377+Z377+AB377+AD377+AA377+VLOOKUP(C377,[1]apoio_Prec_Folha!$A:$S,7,FALSE))*AE377</f>
        <v>729.21375743661361</v>
      </c>
      <c r="AG377" s="40">
        <f t="shared" si="200"/>
        <v>10568.18</v>
      </c>
      <c r="AH377" s="43">
        <f t="shared" si="201"/>
        <v>12324.4</v>
      </c>
      <c r="AI377" s="43">
        <f t="shared" si="202"/>
        <v>320434.39999999997</v>
      </c>
      <c r="AJ377" s="43">
        <f t="shared" si="203"/>
        <v>19226064</v>
      </c>
      <c r="AK377" s="44">
        <f>VLOOKUP(D377,[1]apoio_Preços_MGS!$A$6:$AN$238,39,FALSE)</f>
        <v>200.00000000000003</v>
      </c>
      <c r="AL377" s="44">
        <f>IF(J377="demais municípios",VLOOKUP(D377,[1]apoio_Preços_MGS!$A$6:$AN$238,39,FALSE),0)</f>
        <v>0</v>
      </c>
      <c r="AM377" s="44">
        <v>0</v>
      </c>
      <c r="AN377" s="45">
        <f t="shared" si="186"/>
        <v>0</v>
      </c>
      <c r="AO377" s="44">
        <f>VLOOKUP(D377,[1]apoio_Preços_MGS!$A$6:$AN$238,40,FALSE)</f>
        <v>578.37</v>
      </c>
      <c r="AP377" s="44">
        <f>IF(J377="demais municípios",VLOOKUP(D377,[1]apoio_Preços_MGS!$A$6:$AN$238,40,FALSE),0)</f>
        <v>0</v>
      </c>
      <c r="AQ377" s="44">
        <f>TRUNC(ROUND(($I377)/(1-($I377)),5)*VLOOKUP(D377,[1]apoio_Preços_MGS!$A$6:$AN$238,40,FALSE)+VLOOKUP(D377,[1]apoio_Preços_MGS!$A$6:$AN$238,40,FALSE),2)</f>
        <v>608.79999999999995</v>
      </c>
      <c r="AR377" s="45">
        <f t="shared" si="187"/>
        <v>15828.8</v>
      </c>
      <c r="AS377" s="45">
        <f t="shared" si="188"/>
        <v>15828.8</v>
      </c>
      <c r="AT377" s="45">
        <f t="shared" si="189"/>
        <v>949728</v>
      </c>
      <c r="AU377" s="62"/>
      <c r="AV377" s="46"/>
      <c r="AW377" s="47"/>
      <c r="AX377" s="48"/>
      <c r="AY377" s="49"/>
      <c r="BA377" s="48"/>
    </row>
    <row r="378" spans="1:53" ht="19.5" customHeight="1" x14ac:dyDescent="0.25">
      <c r="A378" s="33" t="str">
        <f t="shared" si="184"/>
        <v>104280300,05</v>
      </c>
      <c r="B378" s="33" t="str">
        <f t="shared" si="185"/>
        <v>11750,05</v>
      </c>
      <c r="C378" s="34" t="str">
        <f>VLOOKUP(D378,[1]apoio_Preços_MGS!$A$6:$B$238,2,FALSE)</f>
        <v>MOTORISTA DE AMBULÂNCIA</v>
      </c>
      <c r="D378" s="35">
        <v>1175</v>
      </c>
      <c r="E378" s="33" t="str">
        <f>VLOOKUP(D378,[1]apoio_Preços_MGS!$A$6:$F$238,6,FALSE)</f>
        <v>MOTORISTA DE AMBULÂNCIA - DIARISTA DIURNO - 30H</v>
      </c>
      <c r="F378" s="36">
        <f>IFERROR(VLOOKUP(D378,'[1]apoio_cód catmas'!$B$2:$C$863,2,FALSE),0)</f>
        <v>104280</v>
      </c>
      <c r="G378" s="33" t="str">
        <f>IF(H378="N/A",VLOOKUP(F378&amp;40,'[1]apoio_cód catmas'!$A$1:$G$233,4,FALSE),VLOOKUP(F378&amp;H378,'[1]apoio_cód catmas'!$A$1:$G$233,4,FALSE))</f>
        <v>MOTORISTA DE AMBULANCIA - 30H</v>
      </c>
      <c r="H378" s="36">
        <v>30</v>
      </c>
      <c r="I378" s="37">
        <v>0.05</v>
      </c>
      <c r="J378" s="38" t="s">
        <v>47</v>
      </c>
      <c r="K378" s="39">
        <v>4</v>
      </c>
      <c r="L378" s="39">
        <f t="shared" si="196"/>
        <v>240</v>
      </c>
      <c r="M378" s="40">
        <f>VLOOKUP(D378,[1]apoio_Preços_MGS!$A$6:$AN$238,18,FALSE)</f>
        <v>2633.2853542575767</v>
      </c>
      <c r="N378" s="40">
        <f>VLOOKUP(D378,[1]apoio_Preços_MGS!$A$6:$AN$238,19,FALSE)</f>
        <v>0</v>
      </c>
      <c r="O378" s="40">
        <f>VLOOKUP(D378,[1]apoio_Preços_MGS!$A$6:$AN$238,20,FALSE)</f>
        <v>0</v>
      </c>
      <c r="P378" s="40">
        <f>VLOOKUP(D378,[1]apoio_Preços_MGS!$A$6:$AN$238,21,FALSE)</f>
        <v>0</v>
      </c>
      <c r="Q378" s="40">
        <f>VLOOKUP(D378,[1]apoio_Preços_MGS!$A$6:$AN$238,22,FALSE)</f>
        <v>0</v>
      </c>
      <c r="R378" s="40">
        <f>VLOOKUP(D378,[1]apoio_Preços_MGS!$A$6:$AN$238,23,FALSE)</f>
        <v>0</v>
      </c>
      <c r="S378" s="40">
        <f>VLOOKUP(D378,[1]apoio_Preços_MGS!$A$6:$AN$238,24,FALSE)</f>
        <v>0</v>
      </c>
      <c r="T378" s="40">
        <f>VLOOKUP(D378,[1]apoio_Preços_MGS!$A$6:$AN$238,25,FALSE)</f>
        <v>0</v>
      </c>
      <c r="U378" s="40">
        <f t="shared" si="171"/>
        <v>2633.2853542575767</v>
      </c>
      <c r="V378" s="41">
        <v>0.81799999999999995</v>
      </c>
      <c r="W378" s="40">
        <f t="shared" si="172"/>
        <v>2154.0274197826975</v>
      </c>
      <c r="X378" s="40">
        <f>VLOOKUP(D378,[1]apoio_Preços_MGS!$A$6:$AN$238,29,FALSE)</f>
        <v>44.339166666666664</v>
      </c>
      <c r="Y378" s="40">
        <f>VLOOKUP(D378,[1]apoio_Preços_MGS!$A$6:$AN$238,30,FALSE)</f>
        <v>12.884945454545454</v>
      </c>
      <c r="Z378" s="40">
        <f t="shared" si="199"/>
        <v>57.224112121212116</v>
      </c>
      <c r="AA378" s="40">
        <f>VLOOKUP(D378,[1]apoio_Preços_MGS!$A$6:$AN$238,32,FALSE)</f>
        <v>5.055907880174547</v>
      </c>
      <c r="AB378" s="40">
        <f>VLOOKUP(D378,[1]apoio_Preços_MGS!$A$6:$AN$238,33,FALSE)</f>
        <v>33.139334545454545</v>
      </c>
      <c r="AC378" s="41">
        <f>VLOOKUP(D378,[1]apoio_Preços_MGS!$A$6:$AN$238,34,FALSE)</f>
        <v>3.7300615542660252E-2</v>
      </c>
      <c r="AD378" s="40">
        <f>(U378+W378+Z378+AB378+AA378+VLOOKUP(C378,[1]apoio_Prec_Folha!$A:$S,7,FALSE))*AC378</f>
        <v>203.70249083129312</v>
      </c>
      <c r="AE378" s="42">
        <f>VLOOKUP(D378,[1]apoio_Preços_MGS!$A$6:$AN$238,36,FALSE)</f>
        <v>7.0000000000000007E-2</v>
      </c>
      <c r="AF378" s="40">
        <f>(U378+W378+Z378+AB378+AD378+AA378+VLOOKUP(C378,[1]apoio_Prec_Folha!$A:$S,7,FALSE))*AE378</f>
        <v>396.53636069262188</v>
      </c>
      <c r="AG378" s="40">
        <f t="shared" si="200"/>
        <v>5482.97</v>
      </c>
      <c r="AH378" s="43">
        <f t="shared" si="201"/>
        <v>6394.12</v>
      </c>
      <c r="AI378" s="43">
        <f t="shared" si="202"/>
        <v>25576.48</v>
      </c>
      <c r="AJ378" s="43">
        <f t="shared" si="203"/>
        <v>1534588.8</v>
      </c>
      <c r="AK378" s="44">
        <f>VLOOKUP(D378,[1]apoio_Preços_MGS!$A$6:$AN$238,39,FALSE)</f>
        <v>136.36363636363637</v>
      </c>
      <c r="AL378" s="44">
        <f>IF(J378="demais municípios",VLOOKUP(D378,[1]apoio_Preços_MGS!$A$6:$AN$238,39,FALSE),0)</f>
        <v>0</v>
      </c>
      <c r="AM378" s="44">
        <v>0</v>
      </c>
      <c r="AN378" s="45">
        <f t="shared" si="186"/>
        <v>0</v>
      </c>
      <c r="AO378" s="44">
        <f>VLOOKUP(D378,[1]apoio_Preços_MGS!$A$6:$AN$238,40,FALSE)</f>
        <v>578.37</v>
      </c>
      <c r="AP378" s="44">
        <f>IF(J378="demais municípios",VLOOKUP(D378,[1]apoio_Preços_MGS!$A$6:$AN$238,40,FALSE),0)</f>
        <v>0</v>
      </c>
      <c r="AQ378" s="44">
        <f>TRUNC(ROUND(($I378)/(1-($I378)),5)*VLOOKUP(D378,[1]apoio_Preços_MGS!$A$6:$AN$238,40,FALSE)+VLOOKUP(D378,[1]apoio_Preços_MGS!$A$6:$AN$238,40,FALSE),2)</f>
        <v>608.79999999999995</v>
      </c>
      <c r="AR378" s="45">
        <f t="shared" si="187"/>
        <v>2435.1999999999998</v>
      </c>
      <c r="AS378" s="45">
        <f t="shared" si="188"/>
        <v>2435.1999999999998</v>
      </c>
      <c r="AT378" s="45">
        <f t="shared" si="189"/>
        <v>146112</v>
      </c>
      <c r="AU378" s="62"/>
      <c r="AV378" s="46"/>
      <c r="AW378" s="47"/>
      <c r="AX378" s="48"/>
      <c r="AY378" s="49"/>
      <c r="BA378" s="48"/>
    </row>
    <row r="379" spans="1:53" ht="19.5" customHeight="1" x14ac:dyDescent="0.25">
      <c r="A379" s="33" t="str">
        <f t="shared" si="184"/>
        <v>63401440,02</v>
      </c>
      <c r="B379" s="33" t="str">
        <f t="shared" si="185"/>
        <v>1050,02</v>
      </c>
      <c r="C379" s="34" t="str">
        <f>VLOOKUP(D379,[1]apoio_Preços_MGS!$A$6:$B$238,2,FALSE)</f>
        <v>MOTORISTA DE AMBULÂNCIA</v>
      </c>
      <c r="D379" s="35">
        <v>105</v>
      </c>
      <c r="E379" s="33" t="str">
        <f>VLOOKUP(D379,[1]apoio_Preços_MGS!$A$6:$F$238,6,FALSE)</f>
        <v>MOTORISTA DE AMBULÂNCIA - DIARISTA DIURNO - 44H</v>
      </c>
      <c r="F379" s="36">
        <f>IFERROR(VLOOKUP(D379,'[1]apoio_cód catmas'!$B$2:$C$863,2,FALSE),0)</f>
        <v>63401</v>
      </c>
      <c r="G379" s="33" t="str">
        <f>IF(H379="N/A",VLOOKUP(F379&amp;40,'[1]apoio_cód catmas'!$A$1:$G$233,4,FALSE),VLOOKUP(F379&amp;H379,'[1]apoio_cód catmas'!$A$1:$G$233,4,FALSE))</f>
        <v>MOTORISTA DE AMBULANCIA - 44H</v>
      </c>
      <c r="H379" s="36">
        <v>44</v>
      </c>
      <c r="I379" s="37">
        <v>0.02</v>
      </c>
      <c r="J379" s="38" t="s">
        <v>46</v>
      </c>
      <c r="K379" s="39">
        <v>2</v>
      </c>
      <c r="L379" s="39">
        <f t="shared" si="196"/>
        <v>120</v>
      </c>
      <c r="M379" s="40">
        <f>VLOOKUP(D379,[1]apoio_Preços_MGS!$A$6:$AN$238,18,FALSE)</f>
        <v>3862.1518529111127</v>
      </c>
      <c r="N379" s="40">
        <f>VLOOKUP(D379,[1]apoio_Preços_MGS!$A$6:$AN$238,19,FALSE)</f>
        <v>0</v>
      </c>
      <c r="O379" s="40">
        <f>VLOOKUP(D379,[1]apoio_Preços_MGS!$A$6:$AN$238,20,FALSE)</f>
        <v>0</v>
      </c>
      <c r="P379" s="40">
        <f>VLOOKUP(D379,[1]apoio_Preços_MGS!$A$6:$AN$238,21,FALSE)</f>
        <v>0</v>
      </c>
      <c r="Q379" s="40">
        <f>VLOOKUP(D379,[1]apoio_Preços_MGS!$A$6:$AN$238,22,FALSE)</f>
        <v>0</v>
      </c>
      <c r="R379" s="40">
        <f>VLOOKUP(D379,[1]apoio_Preços_MGS!$A$6:$AN$238,23,FALSE)</f>
        <v>0</v>
      </c>
      <c r="S379" s="40">
        <f>VLOOKUP(D379,[1]apoio_Preços_MGS!$A$6:$AN$238,24,FALSE)</f>
        <v>0</v>
      </c>
      <c r="T379" s="40">
        <f>VLOOKUP(D379,[1]apoio_Preços_MGS!$A$6:$AN$238,25,FALSE)</f>
        <v>0</v>
      </c>
      <c r="U379" s="40">
        <f t="shared" si="171"/>
        <v>3862.1518529111127</v>
      </c>
      <c r="V379" s="41">
        <v>0.81799999999999995</v>
      </c>
      <c r="W379" s="40">
        <f t="shared" si="172"/>
        <v>3159.24021568129</v>
      </c>
      <c r="X379" s="40">
        <f>VLOOKUP(D379,[1]apoio_Preços_MGS!$A$6:$AN$238,29,FALSE)</f>
        <v>44.339166666666664</v>
      </c>
      <c r="Y379" s="40">
        <f>VLOOKUP(D379,[1]apoio_Preços_MGS!$A$6:$AN$238,30,FALSE)</f>
        <v>12.884945454545454</v>
      </c>
      <c r="Z379" s="40">
        <f t="shared" si="199"/>
        <v>57.224112121212116</v>
      </c>
      <c r="AA379" s="40">
        <f>VLOOKUP(D379,[1]apoio_Preços_MGS!$A$6:$AN$238,32,FALSE)</f>
        <v>7.4153315575893357</v>
      </c>
      <c r="AB379" s="40">
        <f>VLOOKUP(D379,[1]apoio_Preços_MGS!$A$6:$AN$238,33,FALSE)</f>
        <v>19.965546666666668</v>
      </c>
      <c r="AC379" s="41">
        <f>VLOOKUP(D379,[1]apoio_Preços_MGS!$A$6:$AN$238,34,FALSE)</f>
        <v>3.7300615542660252E-2</v>
      </c>
      <c r="AD379" s="40">
        <f>(U379+W379+Z379+AB379+AA379+VLOOKUP(C379,[1]apoio_Prec_Folha!$A:$S,7,FALSE))*AC379</f>
        <v>286.63164124778598</v>
      </c>
      <c r="AE379" s="42">
        <f>VLOOKUP(D379,[1]apoio_Preços_MGS!$A$6:$AN$238,36,FALSE)</f>
        <v>7.0000000000000007E-2</v>
      </c>
      <c r="AF379" s="40">
        <f>(U379+W379+Z379+AB379+AD379+AA379+VLOOKUP(C379,[1]apoio_Prec_Folha!$A:$S,7,FALSE))*AE379</f>
        <v>557.96994634632927</v>
      </c>
      <c r="AG379" s="40">
        <f t="shared" si="200"/>
        <v>7950.59</v>
      </c>
      <c r="AH379" s="43">
        <f t="shared" si="201"/>
        <v>8958.4</v>
      </c>
      <c r="AI379" s="43">
        <f t="shared" si="202"/>
        <v>17916.8</v>
      </c>
      <c r="AJ379" s="43">
        <f t="shared" si="203"/>
        <v>1075008</v>
      </c>
      <c r="AK379" s="44">
        <f>VLOOKUP(D379,[1]apoio_Preços_MGS!$A$6:$AN$238,39,FALSE)</f>
        <v>200.00000000000003</v>
      </c>
      <c r="AL379" s="44">
        <f>IF(J379="demais municípios",VLOOKUP(D379,[1]apoio_Preços_MGS!$A$6:$AN$238,39,FALSE),0)</f>
        <v>200.00000000000003</v>
      </c>
      <c r="AM379" s="44">
        <v>0</v>
      </c>
      <c r="AN379" s="45">
        <f t="shared" ref="AN379:AN385" si="212">AK379*K379</f>
        <v>400.00000000000006</v>
      </c>
      <c r="AO379" s="44">
        <f>VLOOKUP(D379,[1]apoio_Preços_MGS!$A$6:$AN$238,40,FALSE)</f>
        <v>578.37</v>
      </c>
      <c r="AP379" s="44">
        <f>IF(J379="demais municípios",VLOOKUP(D379,[1]apoio_Preços_MGS!$A$6:$AN$238,40,FALSE),0)</f>
        <v>578.37</v>
      </c>
      <c r="AQ379" s="44">
        <v>0</v>
      </c>
      <c r="AR379" s="45">
        <f t="shared" ref="AR379:AR385" si="213">AO379*K379</f>
        <v>1156.74</v>
      </c>
      <c r="AS379" s="45">
        <f t="shared" si="188"/>
        <v>1556.74</v>
      </c>
      <c r="AT379" s="45">
        <f t="shared" si="189"/>
        <v>93404.4</v>
      </c>
      <c r="AU379" s="62"/>
      <c r="AV379" s="46"/>
      <c r="AW379" s="47"/>
      <c r="AX379" s="48"/>
      <c r="AY379" s="49"/>
      <c r="BA379" s="48"/>
    </row>
    <row r="380" spans="1:53" ht="19.5" customHeight="1" x14ac:dyDescent="0.25">
      <c r="A380" s="33" t="str">
        <f t="shared" si="184"/>
        <v>63401440,03</v>
      </c>
      <c r="B380" s="33" t="str">
        <f t="shared" si="185"/>
        <v>1050,03</v>
      </c>
      <c r="C380" s="34" t="str">
        <f>VLOOKUP(D380,[1]apoio_Preços_MGS!$A$6:$B$238,2,FALSE)</f>
        <v>MOTORISTA DE AMBULÂNCIA</v>
      </c>
      <c r="D380" s="35">
        <v>105</v>
      </c>
      <c r="E380" s="33" t="str">
        <f>VLOOKUP(D380,[1]apoio_Preços_MGS!$A$6:$F$238,6,FALSE)</f>
        <v>MOTORISTA DE AMBULÂNCIA - DIARISTA DIURNO - 44H</v>
      </c>
      <c r="F380" s="36">
        <f>IFERROR(VLOOKUP(D380,'[1]apoio_cód catmas'!$B$2:$C$863,2,FALSE),0)</f>
        <v>63401</v>
      </c>
      <c r="G380" s="33" t="str">
        <f>IF(H380="N/A",VLOOKUP(F380&amp;40,'[1]apoio_cód catmas'!$A$1:$G$233,4,FALSE),VLOOKUP(F380&amp;H380,'[1]apoio_cód catmas'!$A$1:$G$233,4,FALSE))</f>
        <v>MOTORISTA DE AMBULANCIA - 44H</v>
      </c>
      <c r="H380" s="36">
        <v>44</v>
      </c>
      <c r="I380" s="37">
        <v>0.03</v>
      </c>
      <c r="J380" s="38" t="s">
        <v>46</v>
      </c>
      <c r="K380" s="39">
        <f>2-1</f>
        <v>1</v>
      </c>
      <c r="L380" s="39">
        <f>K380*56</f>
        <v>56</v>
      </c>
      <c r="M380" s="40">
        <f>VLOOKUP(D380,[1]apoio_Preços_MGS!$A$6:$AN$238,18,FALSE)</f>
        <v>3862.1518529111127</v>
      </c>
      <c r="N380" s="40">
        <f>VLOOKUP(D380,[1]apoio_Preços_MGS!$A$6:$AN$238,19,FALSE)</f>
        <v>0</v>
      </c>
      <c r="O380" s="40">
        <f>VLOOKUP(D380,[1]apoio_Preços_MGS!$A$6:$AN$238,20,FALSE)</f>
        <v>0</v>
      </c>
      <c r="P380" s="40">
        <f>VLOOKUP(D380,[1]apoio_Preços_MGS!$A$6:$AN$238,21,FALSE)</f>
        <v>0</v>
      </c>
      <c r="Q380" s="40">
        <f>VLOOKUP(D380,[1]apoio_Preços_MGS!$A$6:$AN$238,22,FALSE)</f>
        <v>0</v>
      </c>
      <c r="R380" s="40">
        <f>VLOOKUP(D380,[1]apoio_Preços_MGS!$A$6:$AN$238,23,FALSE)</f>
        <v>0</v>
      </c>
      <c r="S380" s="40">
        <f>VLOOKUP(D380,[1]apoio_Preços_MGS!$A$6:$AN$238,24,FALSE)</f>
        <v>0</v>
      </c>
      <c r="T380" s="40">
        <f>VLOOKUP(D380,[1]apoio_Preços_MGS!$A$6:$AN$238,25,FALSE)</f>
        <v>0</v>
      </c>
      <c r="U380" s="40">
        <f t="shared" ref="U380:U443" si="214">SUM(M380:T380)</f>
        <v>3862.1518529111127</v>
      </c>
      <c r="V380" s="41">
        <v>0.81799999999999995</v>
      </c>
      <c r="W380" s="40">
        <f t="shared" ref="W380:W443" si="215">U380*V380</f>
        <v>3159.24021568129</v>
      </c>
      <c r="X380" s="40">
        <f>VLOOKUP(D380,[1]apoio_Preços_MGS!$A$6:$AN$238,29,FALSE)</f>
        <v>44.339166666666664</v>
      </c>
      <c r="Y380" s="40">
        <f>VLOOKUP(D380,[1]apoio_Preços_MGS!$A$6:$AN$238,30,FALSE)</f>
        <v>12.884945454545454</v>
      </c>
      <c r="Z380" s="40">
        <f t="shared" si="199"/>
        <v>57.224112121212116</v>
      </c>
      <c r="AA380" s="40">
        <f>VLOOKUP(D380,[1]apoio_Preços_MGS!$A$6:$AN$238,32,FALSE)</f>
        <v>7.4153315575893357</v>
      </c>
      <c r="AB380" s="40">
        <f>VLOOKUP(D380,[1]apoio_Preços_MGS!$A$6:$AN$238,33,FALSE)</f>
        <v>19.965546666666668</v>
      </c>
      <c r="AC380" s="41">
        <f>VLOOKUP(D380,[1]apoio_Preços_MGS!$A$6:$AN$238,34,FALSE)</f>
        <v>3.7300615542660252E-2</v>
      </c>
      <c r="AD380" s="40">
        <f>(U380+W380+Z380+AB380+AA380+VLOOKUP(C380,[1]apoio_Prec_Folha!$A:$S,7,FALSE))*AC380</f>
        <v>286.63164124778598</v>
      </c>
      <c r="AE380" s="42">
        <f>VLOOKUP(D380,[1]apoio_Preços_MGS!$A$6:$AN$238,36,FALSE)</f>
        <v>7.0000000000000007E-2</v>
      </c>
      <c r="AF380" s="40">
        <f>(U380+W380+Z380+AB380+AD380+AA380+VLOOKUP(C380,[1]apoio_Prec_Folha!$A:$S,7,FALSE))*AE380</f>
        <v>557.96994634632927</v>
      </c>
      <c r="AG380" s="40">
        <f t="shared" si="200"/>
        <v>7950.59</v>
      </c>
      <c r="AH380" s="43">
        <f t="shared" si="201"/>
        <v>9060.49</v>
      </c>
      <c r="AI380" s="43">
        <f t="shared" si="202"/>
        <v>9060.49</v>
      </c>
      <c r="AJ380" s="43">
        <f t="shared" si="203"/>
        <v>507387.44</v>
      </c>
      <c r="AK380" s="44">
        <f>VLOOKUP(D380,[1]apoio_Preços_MGS!$A$6:$AN$238,39,FALSE)</f>
        <v>200.00000000000003</v>
      </c>
      <c r="AL380" s="44">
        <f>IF(J380="demais municípios",VLOOKUP(D380,[1]apoio_Preços_MGS!$A$6:$AN$238,39,FALSE),0)</f>
        <v>200.00000000000003</v>
      </c>
      <c r="AM380" s="44">
        <v>0</v>
      </c>
      <c r="AN380" s="45">
        <f t="shared" si="212"/>
        <v>200.00000000000003</v>
      </c>
      <c r="AO380" s="44">
        <f>VLOOKUP(D380,[1]apoio_Preços_MGS!$A$6:$AN$238,40,FALSE)</f>
        <v>578.37</v>
      </c>
      <c r="AP380" s="44">
        <f>IF(J380="demais municípios",VLOOKUP(D380,[1]apoio_Preços_MGS!$A$6:$AN$238,40,FALSE),0)</f>
        <v>578.37</v>
      </c>
      <c r="AQ380" s="44">
        <v>0</v>
      </c>
      <c r="AR380" s="45">
        <f t="shared" si="213"/>
        <v>578.37</v>
      </c>
      <c r="AS380" s="45">
        <f t="shared" si="188"/>
        <v>778.37</v>
      </c>
      <c r="AT380" s="45">
        <f t="shared" si="189"/>
        <v>46702.2</v>
      </c>
      <c r="AU380" s="62"/>
      <c r="AV380" s="46"/>
      <c r="AW380" s="47"/>
      <c r="AX380" s="48"/>
      <c r="AY380" s="49"/>
      <c r="BA380" s="48"/>
    </row>
    <row r="381" spans="1:53" ht="19.5" customHeight="1" x14ac:dyDescent="0.25">
      <c r="A381" s="33" t="str">
        <f t="shared" si="184"/>
        <v>63401440,03</v>
      </c>
      <c r="B381" s="33" t="str">
        <f t="shared" si="185"/>
        <v>1050,03</v>
      </c>
      <c r="C381" s="34" t="str">
        <f>VLOOKUP(D381,[1]apoio_Preços_MGS!$A$6:$B$238,2,FALSE)</f>
        <v>MOTORISTA DE AMBULÂNCIA</v>
      </c>
      <c r="D381" s="35">
        <v>105</v>
      </c>
      <c r="E381" s="33" t="str">
        <f>VLOOKUP(D381,[1]apoio_Preços_MGS!$A$6:$F$238,6,FALSE)</f>
        <v>MOTORISTA DE AMBULÂNCIA - DIARISTA DIURNO - 44H</v>
      </c>
      <c r="F381" s="36">
        <f>IFERROR(VLOOKUP(D381,'[1]apoio_cód catmas'!$B$2:$C$863,2,FALSE),0)</f>
        <v>63401</v>
      </c>
      <c r="G381" s="33" t="str">
        <f>IF(H381="N/A",VLOOKUP(F381&amp;40,'[1]apoio_cód catmas'!$A$1:$G$233,4,FALSE),VLOOKUP(F381&amp;H381,'[1]apoio_cód catmas'!$A$1:$G$233,4,FALSE))</f>
        <v>MOTORISTA DE AMBULANCIA - 44H</v>
      </c>
      <c r="H381" s="36">
        <v>44</v>
      </c>
      <c r="I381" s="37">
        <v>0.03</v>
      </c>
      <c r="J381" s="38" t="s">
        <v>46</v>
      </c>
      <c r="K381" s="39">
        <f>2-1</f>
        <v>1</v>
      </c>
      <c r="L381" s="39">
        <f t="shared" si="196"/>
        <v>60</v>
      </c>
      <c r="M381" s="40">
        <f>VLOOKUP(D381,[1]apoio_Preços_MGS!$A$6:$AN$238,18,FALSE)</f>
        <v>3862.1518529111127</v>
      </c>
      <c r="N381" s="40">
        <f>VLOOKUP(D381,[1]apoio_Preços_MGS!$A$6:$AN$238,19,FALSE)</f>
        <v>0</v>
      </c>
      <c r="O381" s="40">
        <f>VLOOKUP(D381,[1]apoio_Preços_MGS!$A$6:$AN$238,20,FALSE)</f>
        <v>0</v>
      </c>
      <c r="P381" s="40">
        <f>VLOOKUP(D381,[1]apoio_Preços_MGS!$A$6:$AN$238,21,FALSE)</f>
        <v>0</v>
      </c>
      <c r="Q381" s="40">
        <f>VLOOKUP(D381,[1]apoio_Preços_MGS!$A$6:$AN$238,22,FALSE)</f>
        <v>0</v>
      </c>
      <c r="R381" s="40">
        <f>VLOOKUP(D381,[1]apoio_Preços_MGS!$A$6:$AN$238,23,FALSE)</f>
        <v>0</v>
      </c>
      <c r="S381" s="40">
        <f>VLOOKUP(D381,[1]apoio_Preços_MGS!$A$6:$AN$238,24,FALSE)</f>
        <v>0</v>
      </c>
      <c r="T381" s="40">
        <f>VLOOKUP(D381,[1]apoio_Preços_MGS!$A$6:$AN$238,25,FALSE)</f>
        <v>0</v>
      </c>
      <c r="U381" s="40">
        <f t="shared" si="214"/>
        <v>3862.1518529111127</v>
      </c>
      <c r="V381" s="41">
        <v>0.81799999999999995</v>
      </c>
      <c r="W381" s="40">
        <f t="shared" si="215"/>
        <v>3159.24021568129</v>
      </c>
      <c r="X381" s="40">
        <f>VLOOKUP(D381,[1]apoio_Preços_MGS!$A$6:$AN$238,29,FALSE)</f>
        <v>44.339166666666664</v>
      </c>
      <c r="Y381" s="40">
        <f>VLOOKUP(D381,[1]apoio_Preços_MGS!$A$6:$AN$238,30,FALSE)</f>
        <v>12.884945454545454</v>
      </c>
      <c r="Z381" s="40">
        <f t="shared" si="199"/>
        <v>57.224112121212116</v>
      </c>
      <c r="AA381" s="40">
        <f>VLOOKUP(D381,[1]apoio_Preços_MGS!$A$6:$AN$238,32,FALSE)</f>
        <v>7.4153315575893357</v>
      </c>
      <c r="AB381" s="40">
        <f>VLOOKUP(D381,[1]apoio_Preços_MGS!$A$6:$AN$238,33,FALSE)</f>
        <v>19.965546666666668</v>
      </c>
      <c r="AC381" s="41">
        <f>VLOOKUP(D381,[1]apoio_Preços_MGS!$A$6:$AN$238,34,FALSE)</f>
        <v>3.7300615542660252E-2</v>
      </c>
      <c r="AD381" s="40">
        <f>(U381+W381+Z381+AB381+AA381+VLOOKUP(C381,[1]apoio_Prec_Folha!$A:$S,7,FALSE))*AC381</f>
        <v>286.63164124778598</v>
      </c>
      <c r="AE381" s="42">
        <f>VLOOKUP(D381,[1]apoio_Preços_MGS!$A$6:$AN$238,36,FALSE)</f>
        <v>7.0000000000000007E-2</v>
      </c>
      <c r="AF381" s="40">
        <f>(U381+W381+Z381+AB381+AD381+AA381+VLOOKUP(C381,[1]apoio_Prec_Folha!$A:$S,7,FALSE))*AE381</f>
        <v>557.96994634632927</v>
      </c>
      <c r="AG381" s="40">
        <f t="shared" si="200"/>
        <v>7950.59</v>
      </c>
      <c r="AH381" s="43">
        <f t="shared" si="201"/>
        <v>9060.49</v>
      </c>
      <c r="AI381" s="43">
        <f t="shared" si="202"/>
        <v>9060.49</v>
      </c>
      <c r="AJ381" s="43">
        <f t="shared" si="203"/>
        <v>543629.4</v>
      </c>
      <c r="AK381" s="44">
        <f>VLOOKUP(D381,[1]apoio_Preços_MGS!$A$6:$AN$238,39,FALSE)</f>
        <v>200.00000000000003</v>
      </c>
      <c r="AL381" s="44">
        <f>IF(J381="demais municípios",VLOOKUP(D381,[1]apoio_Preços_MGS!$A$6:$AN$238,39,FALSE),0)</f>
        <v>200.00000000000003</v>
      </c>
      <c r="AM381" s="44">
        <v>0</v>
      </c>
      <c r="AN381" s="45">
        <f t="shared" si="212"/>
        <v>200.00000000000003</v>
      </c>
      <c r="AO381" s="44">
        <f>VLOOKUP(D381,[1]apoio_Preços_MGS!$A$6:$AN$238,40,FALSE)</f>
        <v>578.37</v>
      </c>
      <c r="AP381" s="44">
        <f>IF(J381="demais municípios",VLOOKUP(D381,[1]apoio_Preços_MGS!$A$6:$AN$238,40,FALSE),0)</f>
        <v>578.37</v>
      </c>
      <c r="AQ381" s="44">
        <v>0</v>
      </c>
      <c r="AR381" s="45">
        <f t="shared" si="213"/>
        <v>578.37</v>
      </c>
      <c r="AS381" s="45">
        <f t="shared" si="188"/>
        <v>778.37</v>
      </c>
      <c r="AT381" s="45">
        <f t="shared" si="189"/>
        <v>46702.2</v>
      </c>
      <c r="AU381" s="62"/>
      <c r="AV381" s="46"/>
      <c r="AW381" s="47"/>
      <c r="AX381" s="48"/>
      <c r="AY381" s="49"/>
      <c r="BA381" s="48"/>
    </row>
    <row r="382" spans="1:53" ht="19.5" customHeight="1" x14ac:dyDescent="0.25">
      <c r="A382" s="33" t="str">
        <f t="shared" si="184"/>
        <v>63401440,035</v>
      </c>
      <c r="B382" s="33" t="str">
        <f t="shared" si="185"/>
        <v>1050,035</v>
      </c>
      <c r="C382" s="34" t="str">
        <f>VLOOKUP(D382,[1]apoio_Preços_MGS!$A$6:$B$238,2,FALSE)</f>
        <v>MOTORISTA DE AMBULÂNCIA</v>
      </c>
      <c r="D382" s="35">
        <v>105</v>
      </c>
      <c r="E382" s="33" t="str">
        <f>VLOOKUP(D382,[1]apoio_Preços_MGS!$A$6:$F$238,6,FALSE)</f>
        <v>MOTORISTA DE AMBULÂNCIA - DIARISTA DIURNO - 44H</v>
      </c>
      <c r="F382" s="36">
        <f>IFERROR(VLOOKUP(D382,'[1]apoio_cód catmas'!$B$2:$C$863,2,FALSE),0)</f>
        <v>63401</v>
      </c>
      <c r="G382" s="33" t="str">
        <f>IF(H382="N/A",VLOOKUP(F382&amp;40,'[1]apoio_cód catmas'!$A$1:$G$233,4,FALSE),VLOOKUP(F382&amp;H382,'[1]apoio_cód catmas'!$A$1:$G$233,4,FALSE))</f>
        <v>MOTORISTA DE AMBULANCIA - 44H</v>
      </c>
      <c r="H382" s="36">
        <v>44</v>
      </c>
      <c r="I382" s="37">
        <v>3.5000000000000003E-2</v>
      </c>
      <c r="J382" s="38" t="s">
        <v>46</v>
      </c>
      <c r="K382" s="39">
        <v>2</v>
      </c>
      <c r="L382" s="39">
        <f t="shared" si="196"/>
        <v>120</v>
      </c>
      <c r="M382" s="40">
        <f>VLOOKUP(D382,[1]apoio_Preços_MGS!$A$6:$AN$238,18,FALSE)</f>
        <v>3862.1518529111127</v>
      </c>
      <c r="N382" s="40">
        <f>VLOOKUP(D382,[1]apoio_Preços_MGS!$A$6:$AN$238,19,FALSE)</f>
        <v>0</v>
      </c>
      <c r="O382" s="40">
        <f>VLOOKUP(D382,[1]apoio_Preços_MGS!$A$6:$AN$238,20,FALSE)</f>
        <v>0</v>
      </c>
      <c r="P382" s="40">
        <f>VLOOKUP(D382,[1]apoio_Preços_MGS!$A$6:$AN$238,21,FALSE)</f>
        <v>0</v>
      </c>
      <c r="Q382" s="40">
        <f>VLOOKUP(D382,[1]apoio_Preços_MGS!$A$6:$AN$238,22,FALSE)</f>
        <v>0</v>
      </c>
      <c r="R382" s="40">
        <f>VLOOKUP(D382,[1]apoio_Preços_MGS!$A$6:$AN$238,23,FALSE)</f>
        <v>0</v>
      </c>
      <c r="S382" s="40">
        <f>VLOOKUP(D382,[1]apoio_Preços_MGS!$A$6:$AN$238,24,FALSE)</f>
        <v>0</v>
      </c>
      <c r="T382" s="40">
        <f>VLOOKUP(D382,[1]apoio_Preços_MGS!$A$6:$AN$238,25,FALSE)</f>
        <v>0</v>
      </c>
      <c r="U382" s="40">
        <f t="shared" si="214"/>
        <v>3862.1518529111127</v>
      </c>
      <c r="V382" s="41">
        <v>0.81799999999999995</v>
      </c>
      <c r="W382" s="40">
        <f t="shared" si="215"/>
        <v>3159.24021568129</v>
      </c>
      <c r="X382" s="40">
        <f>VLOOKUP(D382,[1]apoio_Preços_MGS!$A$6:$AN$238,29,FALSE)</f>
        <v>44.339166666666664</v>
      </c>
      <c r="Y382" s="40">
        <f>VLOOKUP(D382,[1]apoio_Preços_MGS!$A$6:$AN$238,30,FALSE)</f>
        <v>12.884945454545454</v>
      </c>
      <c r="Z382" s="40">
        <f t="shared" si="199"/>
        <v>57.224112121212116</v>
      </c>
      <c r="AA382" s="40">
        <f>VLOOKUP(D382,[1]apoio_Preços_MGS!$A$6:$AN$238,32,FALSE)</f>
        <v>7.4153315575893357</v>
      </c>
      <c r="AB382" s="40">
        <f>VLOOKUP(D382,[1]apoio_Preços_MGS!$A$6:$AN$238,33,FALSE)</f>
        <v>19.965546666666668</v>
      </c>
      <c r="AC382" s="41">
        <f>VLOOKUP(D382,[1]apoio_Preços_MGS!$A$6:$AN$238,34,FALSE)</f>
        <v>3.7300615542660252E-2</v>
      </c>
      <c r="AD382" s="40">
        <f>(U382+W382+Z382+AB382+AA382+VLOOKUP(C382,[1]apoio_Prec_Folha!$A:$S,7,FALSE))*AC382</f>
        <v>286.63164124778598</v>
      </c>
      <c r="AE382" s="42">
        <f>VLOOKUP(D382,[1]apoio_Preços_MGS!$A$6:$AN$238,36,FALSE)</f>
        <v>7.0000000000000007E-2</v>
      </c>
      <c r="AF382" s="40">
        <f>(U382+W382+Z382+AB382+AD382+AA382+VLOOKUP(C382,[1]apoio_Prec_Folha!$A:$S,7,FALSE))*AE382</f>
        <v>557.96994634632927</v>
      </c>
      <c r="AG382" s="40">
        <f t="shared" si="200"/>
        <v>7950.59</v>
      </c>
      <c r="AH382" s="43">
        <f t="shared" si="201"/>
        <v>9112.4</v>
      </c>
      <c r="AI382" s="43">
        <f t="shared" si="202"/>
        <v>18224.8</v>
      </c>
      <c r="AJ382" s="43">
        <f t="shared" si="203"/>
        <v>1093488</v>
      </c>
      <c r="AK382" s="44">
        <f>VLOOKUP(D382,[1]apoio_Preços_MGS!$A$6:$AN$238,39,FALSE)</f>
        <v>200.00000000000003</v>
      </c>
      <c r="AL382" s="44">
        <f>IF(J382="demais municípios",VLOOKUP(D382,[1]apoio_Preços_MGS!$A$6:$AN$238,39,FALSE),0)</f>
        <v>200.00000000000003</v>
      </c>
      <c r="AM382" s="44">
        <v>0</v>
      </c>
      <c r="AN382" s="45">
        <f t="shared" si="212"/>
        <v>400.00000000000006</v>
      </c>
      <c r="AO382" s="44">
        <f>VLOOKUP(D382,[1]apoio_Preços_MGS!$A$6:$AN$238,40,FALSE)</f>
        <v>578.37</v>
      </c>
      <c r="AP382" s="44">
        <f>IF(J382="demais municípios",VLOOKUP(D382,[1]apoio_Preços_MGS!$A$6:$AN$238,40,FALSE),0)</f>
        <v>578.37</v>
      </c>
      <c r="AQ382" s="44">
        <v>0</v>
      </c>
      <c r="AR382" s="45">
        <f t="shared" si="213"/>
        <v>1156.74</v>
      </c>
      <c r="AS382" s="45">
        <f t="shared" si="188"/>
        <v>1556.74</v>
      </c>
      <c r="AT382" s="45">
        <f t="shared" si="189"/>
        <v>93404.4</v>
      </c>
      <c r="AU382" s="62"/>
      <c r="AV382" s="46"/>
      <c r="AW382" s="47"/>
      <c r="AX382" s="48"/>
      <c r="AY382" s="49"/>
      <c r="BA382" s="48"/>
    </row>
    <row r="383" spans="1:53" ht="19.5" customHeight="1" x14ac:dyDescent="0.25">
      <c r="A383" s="33" t="str">
        <f t="shared" si="184"/>
        <v>63401440,038</v>
      </c>
      <c r="B383" s="33" t="str">
        <f t="shared" si="185"/>
        <v>1050,038</v>
      </c>
      <c r="C383" s="34" t="str">
        <f>VLOOKUP(D383,[1]apoio_Preços_MGS!$A$6:$B$238,2,FALSE)</f>
        <v>MOTORISTA DE AMBULÂNCIA</v>
      </c>
      <c r="D383" s="35">
        <v>105</v>
      </c>
      <c r="E383" s="33" t="str">
        <f>VLOOKUP(D383,[1]apoio_Preços_MGS!$A$6:$F$238,6,FALSE)</f>
        <v>MOTORISTA DE AMBULÂNCIA - DIARISTA DIURNO - 44H</v>
      </c>
      <c r="F383" s="36">
        <f>IFERROR(VLOOKUP(D383,'[1]apoio_cód catmas'!$B$2:$C$863,2,FALSE),0)</f>
        <v>63401</v>
      </c>
      <c r="G383" s="33" t="str">
        <f>IF(H383="N/A",VLOOKUP(F383&amp;40,'[1]apoio_cód catmas'!$A$1:$G$233,4,FALSE),VLOOKUP(F383&amp;H383,'[1]apoio_cód catmas'!$A$1:$G$233,4,FALSE))</f>
        <v>MOTORISTA DE AMBULANCIA - 44H</v>
      </c>
      <c r="H383" s="36">
        <v>44</v>
      </c>
      <c r="I383" s="37">
        <v>3.7999999999999999E-2</v>
      </c>
      <c r="J383" s="38" t="s">
        <v>46</v>
      </c>
      <c r="K383" s="39">
        <v>4</v>
      </c>
      <c r="L383" s="39">
        <f t="shared" si="196"/>
        <v>240</v>
      </c>
      <c r="M383" s="40">
        <f>VLOOKUP(D383,[1]apoio_Preços_MGS!$A$6:$AN$238,18,FALSE)</f>
        <v>3862.1518529111127</v>
      </c>
      <c r="N383" s="40">
        <f>VLOOKUP(D383,[1]apoio_Preços_MGS!$A$6:$AN$238,19,FALSE)</f>
        <v>0</v>
      </c>
      <c r="O383" s="40">
        <f>VLOOKUP(D383,[1]apoio_Preços_MGS!$A$6:$AN$238,20,FALSE)</f>
        <v>0</v>
      </c>
      <c r="P383" s="40">
        <f>VLOOKUP(D383,[1]apoio_Preços_MGS!$A$6:$AN$238,21,FALSE)</f>
        <v>0</v>
      </c>
      <c r="Q383" s="40">
        <f>VLOOKUP(D383,[1]apoio_Preços_MGS!$A$6:$AN$238,22,FALSE)</f>
        <v>0</v>
      </c>
      <c r="R383" s="40">
        <f>VLOOKUP(D383,[1]apoio_Preços_MGS!$A$6:$AN$238,23,FALSE)</f>
        <v>0</v>
      </c>
      <c r="S383" s="40">
        <f>VLOOKUP(D383,[1]apoio_Preços_MGS!$A$6:$AN$238,24,FALSE)</f>
        <v>0</v>
      </c>
      <c r="T383" s="40">
        <f>VLOOKUP(D383,[1]apoio_Preços_MGS!$A$6:$AN$238,25,FALSE)</f>
        <v>0</v>
      </c>
      <c r="U383" s="40">
        <f t="shared" si="214"/>
        <v>3862.1518529111127</v>
      </c>
      <c r="V383" s="41">
        <v>0.81799999999999995</v>
      </c>
      <c r="W383" s="40">
        <f t="shared" si="215"/>
        <v>3159.24021568129</v>
      </c>
      <c r="X383" s="40">
        <f>VLOOKUP(D383,[1]apoio_Preços_MGS!$A$6:$AN$238,29,FALSE)</f>
        <v>44.339166666666664</v>
      </c>
      <c r="Y383" s="40">
        <f>VLOOKUP(D383,[1]apoio_Preços_MGS!$A$6:$AN$238,30,FALSE)</f>
        <v>12.884945454545454</v>
      </c>
      <c r="Z383" s="40">
        <f t="shared" si="199"/>
        <v>57.224112121212116</v>
      </c>
      <c r="AA383" s="40">
        <f>VLOOKUP(D383,[1]apoio_Preços_MGS!$A$6:$AN$238,32,FALSE)</f>
        <v>7.4153315575893357</v>
      </c>
      <c r="AB383" s="40">
        <f>VLOOKUP(D383,[1]apoio_Preços_MGS!$A$6:$AN$238,33,FALSE)</f>
        <v>19.965546666666668</v>
      </c>
      <c r="AC383" s="41">
        <f>VLOOKUP(D383,[1]apoio_Preços_MGS!$A$6:$AN$238,34,FALSE)</f>
        <v>3.7300615542660252E-2</v>
      </c>
      <c r="AD383" s="40">
        <f>(U383+W383+Z383+AB383+AA383+VLOOKUP(C383,[1]apoio_Prec_Folha!$A:$S,7,FALSE))*AC383</f>
        <v>286.63164124778598</v>
      </c>
      <c r="AE383" s="42">
        <f>VLOOKUP(D383,[1]apoio_Preços_MGS!$A$6:$AN$238,36,FALSE)</f>
        <v>7.0000000000000007E-2</v>
      </c>
      <c r="AF383" s="40">
        <f>(U383+W383+Z383+AB383+AD383+AA383+VLOOKUP(C383,[1]apoio_Prec_Folha!$A:$S,7,FALSE))*AE383</f>
        <v>557.96994634632927</v>
      </c>
      <c r="AG383" s="40">
        <f t="shared" si="200"/>
        <v>7950.59</v>
      </c>
      <c r="AH383" s="43">
        <f t="shared" si="201"/>
        <v>9143.89</v>
      </c>
      <c r="AI383" s="43">
        <f t="shared" si="202"/>
        <v>36575.56</v>
      </c>
      <c r="AJ383" s="43">
        <f t="shared" si="203"/>
        <v>2194533.5999999996</v>
      </c>
      <c r="AK383" s="44">
        <f>VLOOKUP(D383,[1]apoio_Preços_MGS!$A$6:$AN$238,39,FALSE)</f>
        <v>200.00000000000003</v>
      </c>
      <c r="AL383" s="44">
        <f>IF(J383="demais municípios",VLOOKUP(D383,[1]apoio_Preços_MGS!$A$6:$AN$238,39,FALSE),0)</f>
        <v>200.00000000000003</v>
      </c>
      <c r="AM383" s="44">
        <v>0</v>
      </c>
      <c r="AN383" s="45">
        <f t="shared" si="212"/>
        <v>800.00000000000011</v>
      </c>
      <c r="AO383" s="44">
        <f>VLOOKUP(D383,[1]apoio_Preços_MGS!$A$6:$AN$238,40,FALSE)</f>
        <v>578.37</v>
      </c>
      <c r="AP383" s="44">
        <f>IF(J383="demais municípios",VLOOKUP(D383,[1]apoio_Preços_MGS!$A$6:$AN$238,40,FALSE),0)</f>
        <v>578.37</v>
      </c>
      <c r="AQ383" s="44">
        <v>0</v>
      </c>
      <c r="AR383" s="45">
        <f t="shared" si="213"/>
        <v>2313.48</v>
      </c>
      <c r="AS383" s="45">
        <f t="shared" si="188"/>
        <v>3113.48</v>
      </c>
      <c r="AT383" s="45">
        <f t="shared" si="189"/>
        <v>186808.8</v>
      </c>
      <c r="AU383" s="62"/>
      <c r="AV383" s="46"/>
      <c r="AW383" s="47"/>
      <c r="AX383" s="48"/>
      <c r="AY383" s="49"/>
      <c r="BA383" s="48"/>
    </row>
    <row r="384" spans="1:53" ht="19.5" customHeight="1" x14ac:dyDescent="0.25">
      <c r="A384" s="33" t="str">
        <f t="shared" si="184"/>
        <v>63401440,05</v>
      </c>
      <c r="B384" s="33" t="str">
        <f t="shared" si="185"/>
        <v>1050,05</v>
      </c>
      <c r="C384" s="34" t="str">
        <f>VLOOKUP(D384,[1]apoio_Preços_MGS!$A$6:$B$238,2,FALSE)</f>
        <v>MOTORISTA DE AMBULÂNCIA</v>
      </c>
      <c r="D384" s="35">
        <v>105</v>
      </c>
      <c r="E384" s="33" t="str">
        <f>VLOOKUP(D384,[1]apoio_Preços_MGS!$A$6:$F$238,6,FALSE)</f>
        <v>MOTORISTA DE AMBULÂNCIA - DIARISTA DIURNO - 44H</v>
      </c>
      <c r="F384" s="36">
        <f>IFERROR(VLOOKUP(D384,'[1]apoio_cód catmas'!$B$2:$C$863,2,FALSE),0)</f>
        <v>63401</v>
      </c>
      <c r="G384" s="33" t="str">
        <f>IF(H384="N/A",VLOOKUP(F384&amp;40,'[1]apoio_cód catmas'!$A$1:$G$233,4,FALSE),VLOOKUP(F384&amp;H384,'[1]apoio_cód catmas'!$A$1:$G$233,4,FALSE))</f>
        <v>MOTORISTA DE AMBULANCIA - 44H</v>
      </c>
      <c r="H384" s="36">
        <v>44</v>
      </c>
      <c r="I384" s="37">
        <v>0.05</v>
      </c>
      <c r="J384" s="38" t="s">
        <v>46</v>
      </c>
      <c r="K384" s="39">
        <v>1</v>
      </c>
      <c r="L384" s="39">
        <f>K384*56</f>
        <v>56</v>
      </c>
      <c r="M384" s="40">
        <f>VLOOKUP(D384,[1]apoio_Preços_MGS!$A$6:$AN$238,18,FALSE)</f>
        <v>3862.1518529111127</v>
      </c>
      <c r="N384" s="40">
        <f>VLOOKUP(D384,[1]apoio_Preços_MGS!$A$6:$AN$238,19,FALSE)</f>
        <v>0</v>
      </c>
      <c r="O384" s="40">
        <f>VLOOKUP(D384,[1]apoio_Preços_MGS!$A$6:$AN$238,20,FALSE)</f>
        <v>0</v>
      </c>
      <c r="P384" s="40">
        <f>VLOOKUP(D384,[1]apoio_Preços_MGS!$A$6:$AN$238,21,FALSE)</f>
        <v>0</v>
      </c>
      <c r="Q384" s="40">
        <f>VLOOKUP(D384,[1]apoio_Preços_MGS!$A$6:$AN$238,22,FALSE)</f>
        <v>0</v>
      </c>
      <c r="R384" s="40">
        <f>VLOOKUP(D384,[1]apoio_Preços_MGS!$A$6:$AN$238,23,FALSE)</f>
        <v>0</v>
      </c>
      <c r="S384" s="40">
        <f>VLOOKUP(D384,[1]apoio_Preços_MGS!$A$6:$AN$238,24,FALSE)</f>
        <v>0</v>
      </c>
      <c r="T384" s="40">
        <f>VLOOKUP(D384,[1]apoio_Preços_MGS!$A$6:$AN$238,25,FALSE)</f>
        <v>0</v>
      </c>
      <c r="U384" s="40">
        <f t="shared" si="214"/>
        <v>3862.1518529111127</v>
      </c>
      <c r="V384" s="41">
        <f>VLOOKUP(D384,[1]apoio_Preços_MGS!$A$6:$AN$238,27,FALSE)</f>
        <v>0.81799999999999995</v>
      </c>
      <c r="W384" s="40">
        <f t="shared" si="215"/>
        <v>3159.24021568129</v>
      </c>
      <c r="X384" s="40">
        <f>VLOOKUP(D384,[1]apoio_Preços_MGS!$A$6:$AN$238,29,FALSE)</f>
        <v>44.339166666666664</v>
      </c>
      <c r="Y384" s="40">
        <f>VLOOKUP(D384,[1]apoio_Preços_MGS!$A$6:$AN$238,30,FALSE)</f>
        <v>12.884945454545454</v>
      </c>
      <c r="Z384" s="40">
        <f t="shared" si="199"/>
        <v>57.224112121212116</v>
      </c>
      <c r="AA384" s="40">
        <f>VLOOKUP(D384,[1]apoio_Preços_MGS!$A$6:$AN$238,32,FALSE)</f>
        <v>7.4153315575893357</v>
      </c>
      <c r="AB384" s="40">
        <f>VLOOKUP(D384,[1]apoio_Preços_MGS!$A$6:$AN$238,33,FALSE)</f>
        <v>19.965546666666668</v>
      </c>
      <c r="AC384" s="41">
        <f>VLOOKUP(D384,[1]apoio_Preços_MGS!$A$6:$AN$238,34,FALSE)</f>
        <v>3.7300615542660252E-2</v>
      </c>
      <c r="AD384" s="40">
        <f>(U384+W384+Z384+AB384+AA384+VLOOKUP(C384,[1]apoio_Prec_Folha!$A:$S,7,FALSE))*AC384</f>
        <v>286.63164124778598</v>
      </c>
      <c r="AE384" s="42">
        <f>VLOOKUP(D384,[1]apoio_Preços_MGS!$A$6:$AN$238,36,FALSE)</f>
        <v>7.0000000000000007E-2</v>
      </c>
      <c r="AF384" s="40">
        <f>(U384+W384+Z384+AB384+AD384+AA384+VLOOKUP(C384,[1]apoio_Prec_Folha!$A:$S,7,FALSE))*AE384</f>
        <v>557.96994634632927</v>
      </c>
      <c r="AG384" s="40">
        <f t="shared" si="200"/>
        <v>7950.59</v>
      </c>
      <c r="AH384" s="43">
        <f t="shared" si="201"/>
        <v>9271.81</v>
      </c>
      <c r="AI384" s="43">
        <f t="shared" si="202"/>
        <v>9271.81</v>
      </c>
      <c r="AJ384" s="43">
        <f t="shared" si="203"/>
        <v>519221.36</v>
      </c>
      <c r="AK384" s="44">
        <f>VLOOKUP(D384,[1]apoio_Preços_MGS!$A$6:$AN$238,39,FALSE)</f>
        <v>200.00000000000003</v>
      </c>
      <c r="AL384" s="44">
        <f>IF(J384="demais municípios",VLOOKUP(D384,[1]apoio_Preços_MGS!$A$6:$AN$238,39,FALSE),0)</f>
        <v>200.00000000000003</v>
      </c>
      <c r="AM384" s="44">
        <v>0</v>
      </c>
      <c r="AN384" s="45">
        <f t="shared" si="212"/>
        <v>200.00000000000003</v>
      </c>
      <c r="AO384" s="44">
        <f>VLOOKUP(D384,[1]apoio_Preços_MGS!$A$6:$AN$238,40,FALSE)</f>
        <v>578.37</v>
      </c>
      <c r="AP384" s="44">
        <f>IF(J384="demais municípios",VLOOKUP(D384,[1]apoio_Preços_MGS!$A$6:$AN$238,40,FALSE),0)</f>
        <v>578.37</v>
      </c>
      <c r="AQ384" s="44">
        <v>0</v>
      </c>
      <c r="AR384" s="45">
        <f t="shared" si="213"/>
        <v>578.37</v>
      </c>
      <c r="AS384" s="45">
        <f t="shared" si="188"/>
        <v>778.37</v>
      </c>
      <c r="AT384" s="45">
        <f t="shared" si="189"/>
        <v>46702.2</v>
      </c>
      <c r="AU384" s="62"/>
      <c r="AV384" s="46"/>
      <c r="AW384" s="47"/>
      <c r="AX384" s="48"/>
      <c r="AY384" s="49"/>
      <c r="BA384" s="48"/>
    </row>
    <row r="385" spans="1:53" ht="19.5" customHeight="1" x14ac:dyDescent="0.25">
      <c r="A385" s="33" t="str">
        <f t="shared" si="184"/>
        <v>63401440,05</v>
      </c>
      <c r="B385" s="33" t="str">
        <f t="shared" si="185"/>
        <v>1050,05</v>
      </c>
      <c r="C385" s="34" t="str">
        <f>VLOOKUP(D385,[1]apoio_Preços_MGS!$A$6:$B$238,2,FALSE)</f>
        <v>MOTORISTA DE AMBULÂNCIA</v>
      </c>
      <c r="D385" s="35">
        <v>105</v>
      </c>
      <c r="E385" s="33" t="str">
        <f>VLOOKUP(D385,[1]apoio_Preços_MGS!$A$6:$F$238,6,FALSE)</f>
        <v>MOTORISTA DE AMBULÂNCIA - DIARISTA DIURNO - 44H</v>
      </c>
      <c r="F385" s="36">
        <f>IFERROR(VLOOKUP(D385,'[1]apoio_cód catmas'!$B$2:$C$863,2,FALSE),0)</f>
        <v>63401</v>
      </c>
      <c r="G385" s="33" t="str">
        <f>IF(H385="N/A",VLOOKUP(F385&amp;40,'[1]apoio_cód catmas'!$A$1:$G$233,4,FALSE),VLOOKUP(F385&amp;H385,'[1]apoio_cód catmas'!$A$1:$G$233,4,FALSE))</f>
        <v>MOTORISTA DE AMBULANCIA - 44H</v>
      </c>
      <c r="H385" s="36">
        <v>44</v>
      </c>
      <c r="I385" s="37">
        <v>0.05</v>
      </c>
      <c r="J385" s="38" t="s">
        <v>46</v>
      </c>
      <c r="K385" s="39">
        <f>17-K386</f>
        <v>2</v>
      </c>
      <c r="L385" s="39">
        <f t="shared" si="196"/>
        <v>120</v>
      </c>
      <c r="M385" s="40">
        <f>VLOOKUP(D385,[1]apoio_Preços_MGS!$A$6:$AN$238,18,FALSE)</f>
        <v>3862.1518529111127</v>
      </c>
      <c r="N385" s="40">
        <f>VLOOKUP(D385,[1]apoio_Preços_MGS!$A$6:$AN$238,19,FALSE)</f>
        <v>0</v>
      </c>
      <c r="O385" s="40">
        <f>VLOOKUP(D385,[1]apoio_Preços_MGS!$A$6:$AN$238,20,FALSE)</f>
        <v>0</v>
      </c>
      <c r="P385" s="40">
        <f>VLOOKUP(D385,[1]apoio_Preços_MGS!$A$6:$AN$238,21,FALSE)</f>
        <v>0</v>
      </c>
      <c r="Q385" s="40">
        <f>VLOOKUP(D385,[1]apoio_Preços_MGS!$A$6:$AN$238,22,FALSE)</f>
        <v>0</v>
      </c>
      <c r="R385" s="40">
        <f>VLOOKUP(D385,[1]apoio_Preços_MGS!$A$6:$AN$238,23,FALSE)</f>
        <v>0</v>
      </c>
      <c r="S385" s="40">
        <f>VLOOKUP(D385,[1]apoio_Preços_MGS!$A$6:$AN$238,24,FALSE)</f>
        <v>0</v>
      </c>
      <c r="T385" s="40">
        <f>VLOOKUP(D385,[1]apoio_Preços_MGS!$A$6:$AN$238,25,FALSE)</f>
        <v>0</v>
      </c>
      <c r="U385" s="40">
        <f t="shared" si="214"/>
        <v>3862.1518529111127</v>
      </c>
      <c r="V385" s="41">
        <f>VLOOKUP(D385,[1]apoio_Preços_MGS!$A$6:$AN$238,27,FALSE)</f>
        <v>0.81799999999999995</v>
      </c>
      <c r="W385" s="40">
        <f t="shared" si="215"/>
        <v>3159.24021568129</v>
      </c>
      <c r="X385" s="40">
        <f>VLOOKUP(D385,[1]apoio_Preços_MGS!$A$6:$AN$238,29,FALSE)</f>
        <v>44.339166666666664</v>
      </c>
      <c r="Y385" s="40">
        <f>VLOOKUP(D385,[1]apoio_Preços_MGS!$A$6:$AN$238,30,FALSE)</f>
        <v>12.884945454545454</v>
      </c>
      <c r="Z385" s="40">
        <f t="shared" si="199"/>
        <v>57.224112121212116</v>
      </c>
      <c r="AA385" s="40">
        <f>VLOOKUP(D385,[1]apoio_Preços_MGS!$A$6:$AN$238,32,FALSE)</f>
        <v>7.4153315575893357</v>
      </c>
      <c r="AB385" s="40">
        <f>VLOOKUP(D385,[1]apoio_Preços_MGS!$A$6:$AN$238,33,FALSE)</f>
        <v>19.965546666666668</v>
      </c>
      <c r="AC385" s="41">
        <f>VLOOKUP(D385,[1]apoio_Preços_MGS!$A$6:$AN$238,34,FALSE)</f>
        <v>3.7300615542660252E-2</v>
      </c>
      <c r="AD385" s="40">
        <f>(U385+W385+Z385+AB385+AA385+VLOOKUP(C385,[1]apoio_Prec_Folha!$A:$S,7,FALSE))*AC385</f>
        <v>286.63164124778598</v>
      </c>
      <c r="AE385" s="42">
        <f>VLOOKUP(D385,[1]apoio_Preços_MGS!$A$6:$AN$238,36,FALSE)</f>
        <v>7.0000000000000007E-2</v>
      </c>
      <c r="AF385" s="40">
        <f>(U385+W385+Z385+AB385+AD385+AA385+VLOOKUP(C385,[1]apoio_Prec_Folha!$A:$S,7,FALSE))*AE385</f>
        <v>557.96994634632927</v>
      </c>
      <c r="AG385" s="40">
        <f t="shared" si="200"/>
        <v>7950.59</v>
      </c>
      <c r="AH385" s="43">
        <f t="shared" si="201"/>
        <v>9271.81</v>
      </c>
      <c r="AI385" s="43">
        <f t="shared" si="202"/>
        <v>18543.62</v>
      </c>
      <c r="AJ385" s="43">
        <f t="shared" si="203"/>
        <v>1112617.2</v>
      </c>
      <c r="AK385" s="44">
        <f>VLOOKUP(D385,[1]apoio_Preços_MGS!$A$6:$AN$238,39,FALSE)</f>
        <v>200.00000000000003</v>
      </c>
      <c r="AL385" s="44">
        <f>IF(J385="demais municípios",VLOOKUP(D385,[1]apoio_Preços_MGS!$A$6:$AN$238,39,FALSE),0)</f>
        <v>200.00000000000003</v>
      </c>
      <c r="AM385" s="44">
        <v>0</v>
      </c>
      <c r="AN385" s="45">
        <f t="shared" si="212"/>
        <v>400.00000000000006</v>
      </c>
      <c r="AO385" s="44">
        <f>VLOOKUP(D385,[1]apoio_Preços_MGS!$A$6:$AN$238,40,FALSE)</f>
        <v>578.37</v>
      </c>
      <c r="AP385" s="44">
        <f>IF(J385="demais municípios",VLOOKUP(D385,[1]apoio_Preços_MGS!$A$6:$AN$238,40,FALSE),0)</f>
        <v>578.37</v>
      </c>
      <c r="AQ385" s="44">
        <v>0</v>
      </c>
      <c r="AR385" s="45">
        <f t="shared" si="213"/>
        <v>1156.74</v>
      </c>
      <c r="AS385" s="45">
        <f t="shared" si="188"/>
        <v>1556.74</v>
      </c>
      <c r="AT385" s="45">
        <f t="shared" si="189"/>
        <v>93404.4</v>
      </c>
      <c r="AU385" s="62"/>
      <c r="AV385" s="46"/>
      <c r="AW385" s="47"/>
      <c r="AX385" s="48"/>
      <c r="AY385" s="49"/>
      <c r="BA385" s="48"/>
    </row>
    <row r="386" spans="1:53" ht="19.5" customHeight="1" x14ac:dyDescent="0.25">
      <c r="A386" s="33" t="str">
        <f t="shared" si="184"/>
        <v>63401440,05</v>
      </c>
      <c r="B386" s="33" t="str">
        <f t="shared" si="185"/>
        <v>1050,05</v>
      </c>
      <c r="C386" s="34" t="str">
        <f>VLOOKUP(D386,[1]apoio_Preços_MGS!$A$6:$B$238,2,FALSE)</f>
        <v>MOTORISTA DE AMBULÂNCIA</v>
      </c>
      <c r="D386" s="35">
        <v>105</v>
      </c>
      <c r="E386" s="33" t="str">
        <f>VLOOKUP(D386,[1]apoio_Preços_MGS!$A$6:$F$238,6,FALSE)</f>
        <v>MOTORISTA DE AMBULÂNCIA - DIARISTA DIURNO - 44H</v>
      </c>
      <c r="F386" s="36">
        <f>IFERROR(VLOOKUP(D386,'[1]apoio_cód catmas'!$B$2:$C$863,2,FALSE),0)</f>
        <v>63401</v>
      </c>
      <c r="G386" s="33" t="str">
        <f>IF(H386="N/A",VLOOKUP(F386&amp;40,'[1]apoio_cód catmas'!$A$1:$G$233,4,FALSE),VLOOKUP(F386&amp;H386,'[1]apoio_cód catmas'!$A$1:$G$233,4,FALSE))</f>
        <v>MOTORISTA DE AMBULANCIA - 44H</v>
      </c>
      <c r="H386" s="36">
        <v>44</v>
      </c>
      <c r="I386" s="37">
        <v>0.05</v>
      </c>
      <c r="J386" s="38" t="s">
        <v>47</v>
      </c>
      <c r="K386" s="39">
        <v>15</v>
      </c>
      <c r="L386" s="39">
        <f t="shared" si="196"/>
        <v>900</v>
      </c>
      <c r="M386" s="40">
        <f>VLOOKUP(D386,[1]apoio_Preços_MGS!$A$6:$AN$238,18,FALSE)</f>
        <v>3862.1518529111127</v>
      </c>
      <c r="N386" s="40">
        <f>VLOOKUP(D386,[1]apoio_Preços_MGS!$A$6:$AN$238,19,FALSE)</f>
        <v>0</v>
      </c>
      <c r="O386" s="40">
        <f>VLOOKUP(D386,[1]apoio_Preços_MGS!$A$6:$AN$238,20,FALSE)</f>
        <v>0</v>
      </c>
      <c r="P386" s="40">
        <f>VLOOKUP(D386,[1]apoio_Preços_MGS!$A$6:$AN$238,21,FALSE)</f>
        <v>0</v>
      </c>
      <c r="Q386" s="40">
        <f>VLOOKUP(D386,[1]apoio_Preços_MGS!$A$6:$AN$238,22,FALSE)</f>
        <v>0</v>
      </c>
      <c r="R386" s="40">
        <f>VLOOKUP(D386,[1]apoio_Preços_MGS!$A$6:$AN$238,23,FALSE)</f>
        <v>0</v>
      </c>
      <c r="S386" s="40">
        <f>VLOOKUP(D386,[1]apoio_Preços_MGS!$A$6:$AN$238,24,FALSE)</f>
        <v>0</v>
      </c>
      <c r="T386" s="40">
        <f>VLOOKUP(D386,[1]apoio_Preços_MGS!$A$6:$AN$238,25,FALSE)</f>
        <v>0</v>
      </c>
      <c r="U386" s="40">
        <f t="shared" si="214"/>
        <v>3862.1518529111127</v>
      </c>
      <c r="V386" s="41">
        <f>VLOOKUP(D386,[1]apoio_Preços_MGS!$A$6:$AN$238,27,FALSE)</f>
        <v>0.81799999999999995</v>
      </c>
      <c r="W386" s="40">
        <f t="shared" si="215"/>
        <v>3159.24021568129</v>
      </c>
      <c r="X386" s="40">
        <f>VLOOKUP(D386,[1]apoio_Preços_MGS!$A$6:$AN$238,29,FALSE)</f>
        <v>44.339166666666664</v>
      </c>
      <c r="Y386" s="40">
        <f>VLOOKUP(D386,[1]apoio_Preços_MGS!$A$6:$AN$238,30,FALSE)</f>
        <v>12.884945454545454</v>
      </c>
      <c r="Z386" s="40">
        <f t="shared" si="199"/>
        <v>57.224112121212116</v>
      </c>
      <c r="AA386" s="40">
        <f>VLOOKUP(D386,[1]apoio_Preços_MGS!$A$6:$AN$238,32,FALSE)</f>
        <v>7.4153315575893357</v>
      </c>
      <c r="AB386" s="40">
        <f>VLOOKUP(D386,[1]apoio_Preços_MGS!$A$6:$AN$238,33,FALSE)</f>
        <v>19.965546666666668</v>
      </c>
      <c r="AC386" s="41">
        <f>VLOOKUP(D386,[1]apoio_Preços_MGS!$A$6:$AN$238,34,FALSE)</f>
        <v>3.7300615542660252E-2</v>
      </c>
      <c r="AD386" s="40">
        <f>(U386+W386+Z386+AB386+AA386+VLOOKUP(C386,[1]apoio_Prec_Folha!$A:$S,7,FALSE))*AC386</f>
        <v>286.63164124778598</v>
      </c>
      <c r="AE386" s="42">
        <f>VLOOKUP(D386,[1]apoio_Preços_MGS!$A$6:$AN$238,36,FALSE)</f>
        <v>7.0000000000000007E-2</v>
      </c>
      <c r="AF386" s="40">
        <f>(U386+W386+Z386+AB386+AD386+AA386+VLOOKUP(C386,[1]apoio_Prec_Folha!$A:$S,7,FALSE))*AE386</f>
        <v>557.96994634632927</v>
      </c>
      <c r="AG386" s="40">
        <f t="shared" si="200"/>
        <v>7950.59</v>
      </c>
      <c r="AH386" s="43">
        <f t="shared" si="201"/>
        <v>9271.81</v>
      </c>
      <c r="AI386" s="43">
        <f t="shared" si="202"/>
        <v>139077.15</v>
      </c>
      <c r="AJ386" s="43">
        <f t="shared" si="203"/>
        <v>8344629</v>
      </c>
      <c r="AK386" s="44">
        <f>VLOOKUP(D386,[1]apoio_Preços_MGS!$A$6:$AN$238,39,FALSE)</f>
        <v>200.00000000000003</v>
      </c>
      <c r="AL386" s="44">
        <f>IF(J386="demais municípios",VLOOKUP(D386,[1]apoio_Preços_MGS!$A$6:$AN$238,39,FALSE),0)</f>
        <v>0</v>
      </c>
      <c r="AM386" s="44">
        <v>0</v>
      </c>
      <c r="AN386" s="45">
        <f t="shared" si="186"/>
        <v>0</v>
      </c>
      <c r="AO386" s="44">
        <f>VLOOKUP(D386,[1]apoio_Preços_MGS!$A$6:$AN$238,40,FALSE)</f>
        <v>578.37</v>
      </c>
      <c r="AP386" s="44">
        <f>IF(J386="demais municípios",VLOOKUP(D386,[1]apoio_Preços_MGS!$A$6:$AN$238,40,FALSE),0)</f>
        <v>0</v>
      </c>
      <c r="AQ386" s="44">
        <f>TRUNC(ROUND(($I386)/(1-($I386)),5)*VLOOKUP(D386,[1]apoio_Preços_MGS!$A$6:$AN$238,40,FALSE)+VLOOKUP(D386,[1]apoio_Preços_MGS!$A$6:$AN$238,40,FALSE),2)</f>
        <v>608.79999999999995</v>
      </c>
      <c r="AR386" s="45">
        <f t="shared" si="187"/>
        <v>9132</v>
      </c>
      <c r="AS386" s="45">
        <f t="shared" si="188"/>
        <v>9132</v>
      </c>
      <c r="AT386" s="45">
        <f t="shared" si="189"/>
        <v>547920</v>
      </c>
      <c r="AU386" s="62"/>
      <c r="AV386" s="46"/>
      <c r="AW386" s="47"/>
      <c r="AX386" s="48"/>
      <c r="AY386" s="49"/>
      <c r="BA386" s="48"/>
    </row>
    <row r="387" spans="1:53" ht="19.5" customHeight="1" x14ac:dyDescent="0.25">
      <c r="A387" s="33" t="str">
        <f t="shared" si="184"/>
        <v>63371440,05</v>
      </c>
      <c r="B387" s="33" t="str">
        <f t="shared" si="185"/>
        <v>1000,05</v>
      </c>
      <c r="C387" s="34" t="str">
        <f>VLOOKUP(D387,[1]apoio_Preços_MGS!$A$6:$B$238,2,FALSE)</f>
        <v>MOTORISTA DE CAMINHÃO</v>
      </c>
      <c r="D387" s="35">
        <v>100</v>
      </c>
      <c r="E387" s="33" t="str">
        <f>VLOOKUP(D387,[1]apoio_Preços_MGS!$A$6:$F$238,6,FALSE)</f>
        <v>MOTORISTA DE CAMINHÃO - 12x36 DIURNO - 44H</v>
      </c>
      <c r="F387" s="36">
        <f>IFERROR(VLOOKUP(D387,'[1]apoio_cód catmas'!$B$2:$C$863,2,FALSE),0)</f>
        <v>63371</v>
      </c>
      <c r="G387" s="33" t="str">
        <f>IF(H387="N/A",VLOOKUP(F387&amp;40,'[1]apoio_cód catmas'!$A$1:$G$233,4,FALSE),VLOOKUP(F387&amp;H387,'[1]apoio_cód catmas'!$A$1:$G$233,4,FALSE))</f>
        <v>MOTORISTA DE CAMINHAO - 12X36 DIURNO - 44H</v>
      </c>
      <c r="H387" s="36">
        <v>44</v>
      </c>
      <c r="I387" s="37">
        <v>0.05</v>
      </c>
      <c r="J387" s="38" t="s">
        <v>47</v>
      </c>
      <c r="K387" s="39">
        <v>6</v>
      </c>
      <c r="L387" s="39">
        <f t="shared" si="196"/>
        <v>360</v>
      </c>
      <c r="M387" s="40">
        <f>VLOOKUP(D387,[1]apoio_Preços_MGS!$A$6:$AN$238,18,FALSE)</f>
        <v>3046.4749092553202</v>
      </c>
      <c r="N387" s="40">
        <f>VLOOKUP(D387,[1]apoio_Preços_MGS!$A$6:$AN$238,19,FALSE)</f>
        <v>0</v>
      </c>
      <c r="O387" s="40">
        <f>VLOOKUP(D387,[1]apoio_Preços_MGS!$A$6:$AN$238,20,FALSE)</f>
        <v>0</v>
      </c>
      <c r="P387" s="40">
        <f>VLOOKUP(D387,[1]apoio_Preços_MGS!$A$6:$AN$238,21,FALSE)</f>
        <v>0</v>
      </c>
      <c r="Q387" s="40">
        <f>VLOOKUP(D387,[1]apoio_Preços_MGS!$A$6:$AN$238,22,FALSE)</f>
        <v>0</v>
      </c>
      <c r="R387" s="40">
        <f>VLOOKUP(D387,[1]apoio_Preços_MGS!$A$6:$AN$238,23,FALSE)</f>
        <v>0</v>
      </c>
      <c r="S387" s="40">
        <f>VLOOKUP(D387,[1]apoio_Preços_MGS!$A$6:$AN$238,24,FALSE)</f>
        <v>0</v>
      </c>
      <c r="T387" s="40">
        <f>VLOOKUP(D387,[1]apoio_Preços_MGS!$A$6:$AN$238,25,FALSE)</f>
        <v>4.2312151517435002</v>
      </c>
      <c r="U387" s="40">
        <f t="shared" si="214"/>
        <v>3050.7061244070637</v>
      </c>
      <c r="V387" s="41">
        <f>VLOOKUP(D387,[1]apoio_Preços_MGS!$A$6:$AN$238,27,FALSE)</f>
        <v>0.81799999999999995</v>
      </c>
      <c r="W387" s="40">
        <f t="shared" si="215"/>
        <v>2495.4776097649778</v>
      </c>
      <c r="X387" s="40">
        <f>VLOOKUP(D387,[1]apoio_Preços_MGS!$A$6:$AN$238,29,FALSE)</f>
        <v>44.339166666666664</v>
      </c>
      <c r="Y387" s="40">
        <f>VLOOKUP(D387,[1]apoio_Preços_MGS!$A$6:$AN$238,30,FALSE)</f>
        <v>7.6023210831721473</v>
      </c>
      <c r="Z387" s="40">
        <f t="shared" si="199"/>
        <v>51.941487749838814</v>
      </c>
      <c r="AA387" s="40">
        <f>VLOOKUP(D387,[1]apoio_Preços_MGS!$A$6:$AN$238,32,FALSE)</f>
        <v>5.8492318257702145</v>
      </c>
      <c r="AB387" s="40">
        <f>VLOOKUP(D387,[1]apoio_Preços_MGS!$A$6:$AN$238,33,FALSE)</f>
        <v>102.38738723404258</v>
      </c>
      <c r="AC387" s="41">
        <f>VLOOKUP(D387,[1]apoio_Preços_MGS!$A$6:$AN$238,34,FALSE)</f>
        <v>3.2870145422158062E-2</v>
      </c>
      <c r="AD387" s="40">
        <f>(U387+W387+Z387+AB387+AA387+VLOOKUP(C387,[1]apoio_Prec_Folha!$A:$S,7,FALSE))*AC387</f>
        <v>206.90946435864913</v>
      </c>
      <c r="AE387" s="42">
        <f>VLOOKUP(D387,[1]apoio_Preços_MGS!$A$6:$AN$238,36,FALSE)</f>
        <v>7.0000000000000007E-2</v>
      </c>
      <c r="AF387" s="40">
        <f>(U387+W387+Z387+AB387+AD387+AA387+VLOOKUP(C387,[1]apoio_Prec_Folha!$A:$S,7,FALSE))*AE387</f>
        <v>455.11641052276019</v>
      </c>
      <c r="AG387" s="40">
        <f t="shared" si="200"/>
        <v>6368.38</v>
      </c>
      <c r="AH387" s="43">
        <f t="shared" si="201"/>
        <v>7426.67</v>
      </c>
      <c r="AI387" s="43">
        <f t="shared" si="202"/>
        <v>44560.020000000004</v>
      </c>
      <c r="AJ387" s="43">
        <f t="shared" si="203"/>
        <v>2673601.2000000002</v>
      </c>
      <c r="AK387" s="44">
        <f>VLOOKUP(D387,[1]apoio_Preços_MGS!$A$6:$AN$238,39,FALSE)</f>
        <v>200.00000000000003</v>
      </c>
      <c r="AL387" s="44">
        <f>IF(J387="demais municípios",VLOOKUP(D387,[1]apoio_Preços_MGS!$A$6:$AN$238,39,FALSE),0)</f>
        <v>0</v>
      </c>
      <c r="AM387" s="44">
        <v>0</v>
      </c>
      <c r="AN387" s="45">
        <f t="shared" si="186"/>
        <v>0</v>
      </c>
      <c r="AO387" s="44">
        <f>VLOOKUP(D387,[1]apoio_Preços_MGS!$A$6:$AN$238,40,FALSE)</f>
        <v>588.39</v>
      </c>
      <c r="AP387" s="44">
        <f>IF(J387="demais municípios",VLOOKUP(D387,[1]apoio_Preços_MGS!$A$6:$AN$238,40,FALSE),0)</f>
        <v>0</v>
      </c>
      <c r="AQ387" s="44">
        <f>TRUNC(ROUND(($I387)/(1-($I387)),5)*VLOOKUP(D387,[1]apoio_Preços_MGS!$A$6:$AN$238,40,FALSE)+VLOOKUP(D387,[1]apoio_Preços_MGS!$A$6:$AN$238,40,FALSE),2)</f>
        <v>619.35</v>
      </c>
      <c r="AR387" s="45">
        <f t="shared" si="187"/>
        <v>3716.1000000000004</v>
      </c>
      <c r="AS387" s="45">
        <f t="shared" si="188"/>
        <v>3716.1000000000004</v>
      </c>
      <c r="AT387" s="45">
        <f t="shared" si="189"/>
        <v>222966.00000000003</v>
      </c>
      <c r="AU387" s="62"/>
      <c r="AV387" s="46"/>
      <c r="AW387" s="47"/>
      <c r="AX387" s="48"/>
      <c r="AY387" s="49"/>
      <c r="BA387" s="48"/>
    </row>
    <row r="388" spans="1:53" ht="19.5" customHeight="1" x14ac:dyDescent="0.25">
      <c r="A388" s="33" t="str">
        <f t="shared" si="184"/>
        <v>64149440,05</v>
      </c>
      <c r="B388" s="33" t="str">
        <f t="shared" si="185"/>
        <v>1010,05</v>
      </c>
      <c r="C388" s="34" t="str">
        <f>VLOOKUP(D388,[1]apoio_Preços_MGS!$A$6:$B$238,2,FALSE)</f>
        <v>MOTORISTA DE CAMINHÃO</v>
      </c>
      <c r="D388" s="35">
        <v>101</v>
      </c>
      <c r="E388" s="33" t="str">
        <f>VLOOKUP(D388,[1]apoio_Preços_MGS!$A$6:$F$238,6,FALSE)</f>
        <v>MOTORISTA DE CAMINHÃO - 12x36 NOTURNO - 44H</v>
      </c>
      <c r="F388" s="36">
        <f>IFERROR(VLOOKUP(D388,'[1]apoio_cód catmas'!$B$2:$C$863,2,FALSE),0)</f>
        <v>64149</v>
      </c>
      <c r="G388" s="33" t="str">
        <f>IF(H388="N/A",VLOOKUP(F388&amp;40,'[1]apoio_cód catmas'!$A$1:$G$233,4,FALSE),VLOOKUP(F388&amp;H388,'[1]apoio_cód catmas'!$A$1:$G$233,4,FALSE))</f>
        <v>MOTORISTA DE CAMINHAO - 12X36 NOTURNO - 44H</v>
      </c>
      <c r="H388" s="36">
        <v>44</v>
      </c>
      <c r="I388" s="37">
        <v>0.05</v>
      </c>
      <c r="J388" s="38" t="s">
        <v>47</v>
      </c>
      <c r="K388" s="39">
        <v>2</v>
      </c>
      <c r="L388" s="39">
        <f t="shared" si="196"/>
        <v>120</v>
      </c>
      <c r="M388" s="40">
        <f>VLOOKUP(D388,[1]apoio_Preços_MGS!$A$6:$AN$238,18,FALSE)</f>
        <v>3046.4749092553202</v>
      </c>
      <c r="N388" s="40">
        <f>VLOOKUP(D388,[1]apoio_Preços_MGS!$A$6:$AN$238,19,FALSE)</f>
        <v>0</v>
      </c>
      <c r="O388" s="40">
        <f>VLOOKUP(D388,[1]apoio_Preços_MGS!$A$6:$AN$238,20,FALSE)</f>
        <v>709.70514391750248</v>
      </c>
      <c r="P388" s="40">
        <f>VLOOKUP(D388,[1]apoio_Preços_MGS!$A$6:$AN$238,21,FALSE)</f>
        <v>15.491773695682662</v>
      </c>
      <c r="Q388" s="40">
        <f>VLOOKUP(D388,[1]apoio_Preços_MGS!$A$6:$AN$238,22,FALSE)</f>
        <v>58.094133930564567</v>
      </c>
      <c r="R388" s="40">
        <f>VLOOKUP(D388,[1]apoio_Preços_MGS!$A$6:$AN$238,23,FALSE)</f>
        <v>0</v>
      </c>
      <c r="S388" s="40">
        <f>VLOOKUP(D388,[1]apoio_Preços_MGS!$A$6:$AN$238,24,FALSE)</f>
        <v>0</v>
      </c>
      <c r="T388" s="40">
        <f>VLOOKUP(D388,[1]apoio_Preços_MGS!$A$6:$AN$238,25,FALSE)</f>
        <v>4.2312151517435002</v>
      </c>
      <c r="U388" s="40">
        <f t="shared" si="214"/>
        <v>3833.9971759508135</v>
      </c>
      <c r="V388" s="41">
        <f>VLOOKUP(D388,[1]apoio_Preços_MGS!$A$6:$AN$238,27,FALSE)</f>
        <v>0.81799999999999995</v>
      </c>
      <c r="W388" s="40">
        <f t="shared" si="215"/>
        <v>3136.2096899277653</v>
      </c>
      <c r="X388" s="40">
        <f>VLOOKUP(D388,[1]apoio_Preços_MGS!$A$6:$AN$238,29,FALSE)</f>
        <v>44.339166666666664</v>
      </c>
      <c r="Y388" s="40">
        <f>VLOOKUP(D388,[1]apoio_Preços_MGS!$A$6:$AN$238,30,FALSE)</f>
        <v>7.6023210831721473</v>
      </c>
      <c r="Z388" s="40">
        <f t="shared" si="199"/>
        <v>51.941487749838814</v>
      </c>
      <c r="AA388" s="40">
        <f>VLOOKUP(D388,[1]apoio_Preços_MGS!$A$6:$AN$238,32,FALSE)</f>
        <v>5.8492318257702145</v>
      </c>
      <c r="AB388" s="40">
        <f>VLOOKUP(D388,[1]apoio_Preços_MGS!$A$6:$AN$238,33,FALSE)</f>
        <v>102.38738723404258</v>
      </c>
      <c r="AC388" s="41">
        <f>VLOOKUP(D388,[1]apoio_Preços_MGS!$A$6:$AN$238,34,FALSE)</f>
        <v>3.2870145422158062E-2</v>
      </c>
      <c r="AD388" s="40">
        <f>(U388+W388+Z388+AB388+AA388+VLOOKUP(C388,[1]apoio_Prec_Folha!$A:$S,7,FALSE))*AC388</f>
        <v>253.71731178235996</v>
      </c>
      <c r="AE388" s="42">
        <f>VLOOKUP(D388,[1]apoio_Preços_MGS!$A$6:$AN$238,36,FALSE)</f>
        <v>7.0000000000000007E-2</v>
      </c>
      <c r="AF388" s="40">
        <f>(U388+W388+Z388+AB388+AD388+AA388+VLOOKUP(C388,[1]apoio_Prec_Folha!$A:$S,7,FALSE))*AE388</f>
        <v>558.07457906187756</v>
      </c>
      <c r="AG388" s="40">
        <f t="shared" si="200"/>
        <v>7942.17</v>
      </c>
      <c r="AH388" s="43">
        <f t="shared" si="201"/>
        <v>9261.99</v>
      </c>
      <c r="AI388" s="43">
        <f t="shared" si="202"/>
        <v>18523.98</v>
      </c>
      <c r="AJ388" s="43">
        <f t="shared" si="203"/>
        <v>1111438.8</v>
      </c>
      <c r="AK388" s="44">
        <f>VLOOKUP(D388,[1]apoio_Preços_MGS!$A$6:$AN$238,39,FALSE)</f>
        <v>200.00000000000003</v>
      </c>
      <c r="AL388" s="44">
        <f>IF(J388="demais municípios",VLOOKUP(D388,[1]apoio_Preços_MGS!$A$6:$AN$238,39,FALSE),0)</f>
        <v>0</v>
      </c>
      <c r="AM388" s="44">
        <v>0</v>
      </c>
      <c r="AN388" s="45">
        <f t="shared" si="186"/>
        <v>0</v>
      </c>
      <c r="AO388" s="44">
        <f>VLOOKUP(D388,[1]apoio_Preços_MGS!$A$6:$AN$238,40,FALSE)</f>
        <v>588.39</v>
      </c>
      <c r="AP388" s="44">
        <f>IF(J388="demais municípios",VLOOKUP(D388,[1]apoio_Preços_MGS!$A$6:$AN$238,40,FALSE),0)</f>
        <v>0</v>
      </c>
      <c r="AQ388" s="44">
        <f>TRUNC(ROUND(($I388)/(1-($I388)),5)*VLOOKUP(D388,[1]apoio_Preços_MGS!$A$6:$AN$238,40,FALSE)+VLOOKUP(D388,[1]apoio_Preços_MGS!$A$6:$AN$238,40,FALSE),2)</f>
        <v>619.35</v>
      </c>
      <c r="AR388" s="45">
        <f t="shared" si="187"/>
        <v>1238.7</v>
      </c>
      <c r="AS388" s="45">
        <f t="shared" si="188"/>
        <v>1238.7</v>
      </c>
      <c r="AT388" s="45">
        <f t="shared" si="189"/>
        <v>74322</v>
      </c>
      <c r="AU388" s="62"/>
      <c r="AV388" s="46"/>
      <c r="AW388" s="47"/>
      <c r="AX388" s="48"/>
      <c r="AY388" s="49"/>
      <c r="BA388" s="48"/>
    </row>
    <row r="389" spans="1:53" ht="19.5" customHeight="1" x14ac:dyDescent="0.25">
      <c r="A389" s="33" t="str">
        <f t="shared" ref="A389:A453" si="216">CONCATENATE(F389,H389,I389)</f>
        <v>63886440,02</v>
      </c>
      <c r="B389" s="33" t="str">
        <f t="shared" ref="B389:B453" si="217">CONCATENATE(D389,I389)</f>
        <v>980,02</v>
      </c>
      <c r="C389" s="34" t="str">
        <f>VLOOKUP(D389,[1]apoio_Preços_MGS!$A$6:$B$238,2,FALSE)</f>
        <v>MOTORISTA DE CAMINHÃO</v>
      </c>
      <c r="D389" s="35">
        <v>98</v>
      </c>
      <c r="E389" s="33" t="str">
        <f>VLOOKUP(D389,[1]apoio_Preços_MGS!$A$6:$F$238,6,FALSE)</f>
        <v>MOTORISTA DE CAMINHÃO - DIARISTA DIURNO - 44H</v>
      </c>
      <c r="F389" s="36">
        <f>IFERROR(VLOOKUP(D389,'[1]apoio_cód catmas'!$B$2:$C$863,2,FALSE),0)</f>
        <v>63886</v>
      </c>
      <c r="G389" s="33" t="str">
        <f>IF(H389="N/A",VLOOKUP(F389&amp;40,'[1]apoio_cód catmas'!$A$1:$G$233,4,FALSE),VLOOKUP(F389&amp;H389,'[1]apoio_cód catmas'!$A$1:$G$233,4,FALSE))</f>
        <v>MOTORISTA DE CAMINHAO - 44H</v>
      </c>
      <c r="H389" s="36">
        <v>44</v>
      </c>
      <c r="I389" s="37">
        <v>0.02</v>
      </c>
      <c r="J389" s="38" t="s">
        <v>46</v>
      </c>
      <c r="K389" s="39">
        <v>7</v>
      </c>
      <c r="L389" s="39">
        <f t="shared" si="196"/>
        <v>420</v>
      </c>
      <c r="M389" s="40">
        <f>VLOOKUP(D389,[1]apoio_Preços_MGS!$A$6:$AN$238,18,FALSE)</f>
        <v>3046.4749092553202</v>
      </c>
      <c r="N389" s="40">
        <f>VLOOKUP(D389,[1]apoio_Preços_MGS!$A$6:$AN$238,19,FALSE)</f>
        <v>0</v>
      </c>
      <c r="O389" s="40">
        <f>VLOOKUP(D389,[1]apoio_Preços_MGS!$A$6:$AN$238,20,FALSE)</f>
        <v>0</v>
      </c>
      <c r="P389" s="40">
        <f>VLOOKUP(D389,[1]apoio_Preços_MGS!$A$6:$AN$238,21,FALSE)</f>
        <v>0</v>
      </c>
      <c r="Q389" s="40">
        <f>VLOOKUP(D389,[1]apoio_Preços_MGS!$A$6:$AN$238,22,FALSE)</f>
        <v>0</v>
      </c>
      <c r="R389" s="40">
        <f>VLOOKUP(D389,[1]apoio_Preços_MGS!$A$6:$AN$238,23,FALSE)</f>
        <v>0</v>
      </c>
      <c r="S389" s="40">
        <f>VLOOKUP(D389,[1]apoio_Preços_MGS!$A$6:$AN$238,24,FALSE)</f>
        <v>0</v>
      </c>
      <c r="T389" s="40">
        <f>VLOOKUP(D389,[1]apoio_Preços_MGS!$A$6:$AN$238,25,FALSE)</f>
        <v>0</v>
      </c>
      <c r="U389" s="40">
        <f t="shared" si="214"/>
        <v>3046.4749092553202</v>
      </c>
      <c r="V389" s="41">
        <f>VLOOKUP(D389,[1]apoio_Preços_MGS!$A$6:$AN$238,27,FALSE)</f>
        <v>0.81799999999999995</v>
      </c>
      <c r="W389" s="40">
        <f t="shared" si="215"/>
        <v>2492.0164757708517</v>
      </c>
      <c r="X389" s="40">
        <f>VLOOKUP(D389,[1]apoio_Preços_MGS!$A$6:$AN$238,29,FALSE)</f>
        <v>44.339166666666664</v>
      </c>
      <c r="Y389" s="40">
        <f>VLOOKUP(D389,[1]apoio_Preços_MGS!$A$6:$AN$238,30,FALSE)</f>
        <v>7.6023210831721473</v>
      </c>
      <c r="Z389" s="40">
        <f t="shared" si="199"/>
        <v>51.941487749838814</v>
      </c>
      <c r="AA389" s="40">
        <f>VLOOKUP(D389,[1]apoio_Preços_MGS!$A$6:$AN$238,32,FALSE)</f>
        <v>5.8492318257702145</v>
      </c>
      <c r="AB389" s="40">
        <f>VLOOKUP(D389,[1]apoio_Preços_MGS!$A$6:$AN$238,33,FALSE)</f>
        <v>102.38738723404258</v>
      </c>
      <c r="AC389" s="41">
        <f>VLOOKUP(D389,[1]apoio_Preços_MGS!$A$6:$AN$238,34,FALSE)</f>
        <v>3.2870145422158062E-2</v>
      </c>
      <c r="AD389" s="40">
        <f>(U389+W389+Z389+AB389+AA389+VLOOKUP(C389,[1]apoio_Prec_Folha!$A:$S,7,FALSE))*AC389</f>
        <v>206.65661572358638</v>
      </c>
      <c r="AE389" s="42">
        <f>VLOOKUP(D389,[1]apoio_Preços_MGS!$A$6:$AN$238,36,FALSE)</f>
        <v>7.0000000000000007E-2</v>
      </c>
      <c r="AF389" s="40">
        <f>(U389+W389+Z389+AB389+AD389+AA389+VLOOKUP(C389,[1]apoio_Prec_Folha!$A:$S,7,FALSE))*AE389</f>
        <v>454.56024667809487</v>
      </c>
      <c r="AG389" s="40">
        <f t="shared" si="200"/>
        <v>6359.88</v>
      </c>
      <c r="AH389" s="43">
        <f t="shared" si="201"/>
        <v>7166.05</v>
      </c>
      <c r="AI389" s="43">
        <f t="shared" si="202"/>
        <v>50162.35</v>
      </c>
      <c r="AJ389" s="43">
        <f t="shared" si="203"/>
        <v>3009741</v>
      </c>
      <c r="AK389" s="44">
        <f>VLOOKUP(D389,[1]apoio_Preços_MGS!$A$6:$AN$238,39,FALSE)</f>
        <v>200.00000000000003</v>
      </c>
      <c r="AL389" s="44">
        <f>IF(J389="demais municípios",VLOOKUP(D389,[1]apoio_Preços_MGS!$A$6:$AN$238,39,FALSE),0)</f>
        <v>200.00000000000003</v>
      </c>
      <c r="AM389" s="44">
        <v>0</v>
      </c>
      <c r="AN389" s="45">
        <f t="shared" ref="AN389:AN393" si="218">AK389*K389</f>
        <v>1400.0000000000002</v>
      </c>
      <c r="AO389" s="44">
        <f>VLOOKUP(D389,[1]apoio_Preços_MGS!$A$6:$AN$238,40,FALSE)</f>
        <v>588.39</v>
      </c>
      <c r="AP389" s="44">
        <f>IF(J389="demais municípios",VLOOKUP(D389,[1]apoio_Preços_MGS!$A$6:$AN$238,40,FALSE),0)</f>
        <v>588.39</v>
      </c>
      <c r="AQ389" s="44">
        <v>0</v>
      </c>
      <c r="AR389" s="45">
        <f t="shared" ref="AR389:AR393" si="219">AO389*K389</f>
        <v>4118.7299999999996</v>
      </c>
      <c r="AS389" s="45">
        <f t="shared" si="188"/>
        <v>5518.73</v>
      </c>
      <c r="AT389" s="45">
        <f t="shared" si="189"/>
        <v>331123.8</v>
      </c>
      <c r="AU389" s="62"/>
      <c r="AV389" s="46"/>
      <c r="AW389" s="47"/>
      <c r="AX389" s="48"/>
      <c r="AY389" s="49"/>
      <c r="BA389" s="48"/>
    </row>
    <row r="390" spans="1:53" ht="19.5" customHeight="1" x14ac:dyDescent="0.25">
      <c r="A390" s="33" t="str">
        <f t="shared" si="216"/>
        <v>63886440,03</v>
      </c>
      <c r="B390" s="33" t="str">
        <f t="shared" si="217"/>
        <v>980,03</v>
      </c>
      <c r="C390" s="34" t="str">
        <f>VLOOKUP(D390,[1]apoio_Preços_MGS!$A$6:$B$238,2,FALSE)</f>
        <v>MOTORISTA DE CAMINHÃO</v>
      </c>
      <c r="D390" s="35">
        <v>98</v>
      </c>
      <c r="E390" s="33" t="str">
        <f>VLOOKUP(D390,[1]apoio_Preços_MGS!$A$6:$F$238,6,FALSE)</f>
        <v>MOTORISTA DE CAMINHÃO - DIARISTA DIURNO - 44H</v>
      </c>
      <c r="F390" s="36">
        <f>IFERROR(VLOOKUP(D390,'[1]apoio_cód catmas'!$B$2:$C$863,2,FALSE),0)</f>
        <v>63886</v>
      </c>
      <c r="G390" s="33" t="str">
        <f>IF(H390="N/A",VLOOKUP(F390&amp;40,'[1]apoio_cód catmas'!$A$1:$G$233,4,FALSE),VLOOKUP(F390&amp;H390,'[1]apoio_cód catmas'!$A$1:$G$233,4,FALSE))</f>
        <v>MOTORISTA DE CAMINHAO - 44H</v>
      </c>
      <c r="H390" s="36">
        <v>44</v>
      </c>
      <c r="I390" s="37">
        <v>0.03</v>
      </c>
      <c r="J390" s="38" t="s">
        <v>46</v>
      </c>
      <c r="K390" s="39">
        <v>11</v>
      </c>
      <c r="L390" s="39">
        <f t="shared" si="196"/>
        <v>660</v>
      </c>
      <c r="M390" s="40">
        <f>VLOOKUP(D390,[1]apoio_Preços_MGS!$A$6:$AN$238,18,FALSE)</f>
        <v>3046.4749092553202</v>
      </c>
      <c r="N390" s="40">
        <f>VLOOKUP(D390,[1]apoio_Preços_MGS!$A$6:$AN$238,19,FALSE)</f>
        <v>0</v>
      </c>
      <c r="O390" s="40">
        <f>VLOOKUP(D390,[1]apoio_Preços_MGS!$A$6:$AN$238,20,FALSE)</f>
        <v>0</v>
      </c>
      <c r="P390" s="40">
        <f>VLOOKUP(D390,[1]apoio_Preços_MGS!$A$6:$AN$238,21,FALSE)</f>
        <v>0</v>
      </c>
      <c r="Q390" s="40">
        <f>VLOOKUP(D390,[1]apoio_Preços_MGS!$A$6:$AN$238,22,FALSE)</f>
        <v>0</v>
      </c>
      <c r="R390" s="40">
        <f>VLOOKUP(D390,[1]apoio_Preços_MGS!$A$6:$AN$238,23,FALSE)</f>
        <v>0</v>
      </c>
      <c r="S390" s="40">
        <f>VLOOKUP(D390,[1]apoio_Preços_MGS!$A$6:$AN$238,24,FALSE)</f>
        <v>0</v>
      </c>
      <c r="T390" s="40">
        <f>VLOOKUP(D390,[1]apoio_Preços_MGS!$A$6:$AN$238,25,FALSE)</f>
        <v>0</v>
      </c>
      <c r="U390" s="40">
        <f t="shared" si="214"/>
        <v>3046.4749092553202</v>
      </c>
      <c r="V390" s="41">
        <f>VLOOKUP(D390,[1]apoio_Preços_MGS!$A$6:$AN$238,27,FALSE)</f>
        <v>0.81799999999999995</v>
      </c>
      <c r="W390" s="40">
        <f t="shared" si="215"/>
        <v>2492.0164757708517</v>
      </c>
      <c r="X390" s="40">
        <f>VLOOKUP(D390,[1]apoio_Preços_MGS!$A$6:$AN$238,29,FALSE)</f>
        <v>44.339166666666664</v>
      </c>
      <c r="Y390" s="40">
        <f>VLOOKUP(D390,[1]apoio_Preços_MGS!$A$6:$AN$238,30,FALSE)</f>
        <v>7.6023210831721473</v>
      </c>
      <c r="Z390" s="40">
        <f t="shared" si="199"/>
        <v>51.941487749838814</v>
      </c>
      <c r="AA390" s="40">
        <f>VLOOKUP(D390,[1]apoio_Preços_MGS!$A$6:$AN$238,32,FALSE)</f>
        <v>5.8492318257702145</v>
      </c>
      <c r="AB390" s="40">
        <f>VLOOKUP(D390,[1]apoio_Preços_MGS!$A$6:$AN$238,33,FALSE)</f>
        <v>102.38738723404258</v>
      </c>
      <c r="AC390" s="41">
        <f>VLOOKUP(D390,[1]apoio_Preços_MGS!$A$6:$AN$238,34,FALSE)</f>
        <v>3.2870145422158062E-2</v>
      </c>
      <c r="AD390" s="40">
        <f>(U390+W390+Z390+AB390+AA390+VLOOKUP(C390,[1]apoio_Prec_Folha!$A:$S,7,FALSE))*AC390</f>
        <v>206.65661572358638</v>
      </c>
      <c r="AE390" s="42">
        <f>VLOOKUP(D390,[1]apoio_Preços_MGS!$A$6:$AN$238,36,FALSE)</f>
        <v>7.0000000000000007E-2</v>
      </c>
      <c r="AF390" s="40">
        <f>(U390+W390+Z390+AB390+AD390+AA390+VLOOKUP(C390,[1]apoio_Prec_Folha!$A:$S,7,FALSE))*AE390</f>
        <v>454.56024667809487</v>
      </c>
      <c r="AG390" s="40">
        <f t="shared" si="200"/>
        <v>6359.88</v>
      </c>
      <c r="AH390" s="43">
        <f t="shared" si="201"/>
        <v>7247.71</v>
      </c>
      <c r="AI390" s="43">
        <f t="shared" si="202"/>
        <v>79724.81</v>
      </c>
      <c r="AJ390" s="43">
        <f t="shared" si="203"/>
        <v>4783488.5999999996</v>
      </c>
      <c r="AK390" s="44">
        <f>VLOOKUP(D390,[1]apoio_Preços_MGS!$A$6:$AN$238,39,FALSE)</f>
        <v>200.00000000000003</v>
      </c>
      <c r="AL390" s="44">
        <f>IF(J390="demais municípios",VLOOKUP(D390,[1]apoio_Preços_MGS!$A$6:$AN$238,39,FALSE),0)</f>
        <v>200.00000000000003</v>
      </c>
      <c r="AM390" s="44">
        <v>0</v>
      </c>
      <c r="AN390" s="45">
        <f t="shared" si="218"/>
        <v>2200.0000000000005</v>
      </c>
      <c r="AO390" s="44">
        <f>VLOOKUP(D390,[1]apoio_Preços_MGS!$A$6:$AN$238,40,FALSE)</f>
        <v>588.39</v>
      </c>
      <c r="AP390" s="44">
        <f>IF(J390="demais municípios",VLOOKUP(D390,[1]apoio_Preços_MGS!$A$6:$AN$238,40,FALSE),0)</f>
        <v>588.39</v>
      </c>
      <c r="AQ390" s="44">
        <v>0</v>
      </c>
      <c r="AR390" s="45">
        <f t="shared" si="219"/>
        <v>6472.29</v>
      </c>
      <c r="AS390" s="45">
        <f t="shared" ref="AS390:AS457" si="220">AN390+AR390</f>
        <v>8672.2900000000009</v>
      </c>
      <c r="AT390" s="45">
        <f t="shared" si="189"/>
        <v>520337.4</v>
      </c>
      <c r="AU390" s="62"/>
      <c r="AV390" s="46"/>
      <c r="AW390" s="47"/>
      <c r="AX390" s="48"/>
      <c r="AY390" s="49"/>
      <c r="BA390" s="48"/>
    </row>
    <row r="391" spans="1:53" ht="19.5" customHeight="1" x14ac:dyDescent="0.25">
      <c r="A391" s="33" t="str">
        <f t="shared" si="216"/>
        <v>63886440,035</v>
      </c>
      <c r="B391" s="33" t="str">
        <f t="shared" si="217"/>
        <v>980,035</v>
      </c>
      <c r="C391" s="34" t="str">
        <f>VLOOKUP(D391,[1]apoio_Preços_MGS!$A$6:$B$238,2,FALSE)</f>
        <v>MOTORISTA DE CAMINHÃO</v>
      </c>
      <c r="D391" s="35">
        <v>98</v>
      </c>
      <c r="E391" s="33" t="str">
        <f>VLOOKUP(D391,[1]apoio_Preços_MGS!$A$6:$F$238,6,FALSE)</f>
        <v>MOTORISTA DE CAMINHÃO - DIARISTA DIURNO - 44H</v>
      </c>
      <c r="F391" s="36">
        <f>IFERROR(VLOOKUP(D391,'[1]apoio_cód catmas'!$B$2:$C$863,2,FALSE),0)</f>
        <v>63886</v>
      </c>
      <c r="G391" s="33" t="str">
        <f>IF(H391="N/A",VLOOKUP(F391&amp;40,'[1]apoio_cód catmas'!$A$1:$G$233,4,FALSE),VLOOKUP(F391&amp;H391,'[1]apoio_cód catmas'!$A$1:$G$233,4,FALSE))</f>
        <v>MOTORISTA DE CAMINHAO - 44H</v>
      </c>
      <c r="H391" s="36">
        <v>44</v>
      </c>
      <c r="I391" s="37">
        <v>3.5000000000000003E-2</v>
      </c>
      <c r="J391" s="38" t="s">
        <v>46</v>
      </c>
      <c r="K391" s="39">
        <v>5</v>
      </c>
      <c r="L391" s="39">
        <f t="shared" si="196"/>
        <v>300</v>
      </c>
      <c r="M391" s="40">
        <f>VLOOKUP(D391,[1]apoio_Preços_MGS!$A$6:$AN$238,18,FALSE)</f>
        <v>3046.4749092553202</v>
      </c>
      <c r="N391" s="40">
        <f>VLOOKUP(D391,[1]apoio_Preços_MGS!$A$6:$AN$238,19,FALSE)</f>
        <v>0</v>
      </c>
      <c r="O391" s="40">
        <f>VLOOKUP(D391,[1]apoio_Preços_MGS!$A$6:$AN$238,20,FALSE)</f>
        <v>0</v>
      </c>
      <c r="P391" s="40">
        <f>VLOOKUP(D391,[1]apoio_Preços_MGS!$A$6:$AN$238,21,FALSE)</f>
        <v>0</v>
      </c>
      <c r="Q391" s="40">
        <f>VLOOKUP(D391,[1]apoio_Preços_MGS!$A$6:$AN$238,22,FALSE)</f>
        <v>0</v>
      </c>
      <c r="R391" s="40">
        <f>VLOOKUP(D391,[1]apoio_Preços_MGS!$A$6:$AN$238,23,FALSE)</f>
        <v>0</v>
      </c>
      <c r="S391" s="40">
        <f>VLOOKUP(D391,[1]apoio_Preços_MGS!$A$6:$AN$238,24,FALSE)</f>
        <v>0</v>
      </c>
      <c r="T391" s="40">
        <f>VLOOKUP(D391,[1]apoio_Preços_MGS!$A$6:$AN$238,25,FALSE)</f>
        <v>0</v>
      </c>
      <c r="U391" s="40">
        <f t="shared" si="214"/>
        <v>3046.4749092553202</v>
      </c>
      <c r="V391" s="41">
        <f>VLOOKUP(D391,[1]apoio_Preços_MGS!$A$6:$AN$238,27,FALSE)</f>
        <v>0.81799999999999995</v>
      </c>
      <c r="W391" s="40">
        <f t="shared" si="215"/>
        <v>2492.0164757708517</v>
      </c>
      <c r="X391" s="40">
        <f>VLOOKUP(D391,[1]apoio_Preços_MGS!$A$6:$AN$238,29,FALSE)</f>
        <v>44.339166666666664</v>
      </c>
      <c r="Y391" s="40">
        <f>VLOOKUP(D391,[1]apoio_Preços_MGS!$A$6:$AN$238,30,FALSE)</f>
        <v>7.6023210831721473</v>
      </c>
      <c r="Z391" s="40">
        <f t="shared" si="199"/>
        <v>51.941487749838814</v>
      </c>
      <c r="AA391" s="40">
        <f>VLOOKUP(D391,[1]apoio_Preços_MGS!$A$6:$AN$238,32,FALSE)</f>
        <v>5.8492318257702145</v>
      </c>
      <c r="AB391" s="40">
        <f>VLOOKUP(D391,[1]apoio_Preços_MGS!$A$6:$AN$238,33,FALSE)</f>
        <v>102.38738723404258</v>
      </c>
      <c r="AC391" s="41">
        <f>VLOOKUP(D391,[1]apoio_Preços_MGS!$A$6:$AN$238,34,FALSE)</f>
        <v>3.2870145422158062E-2</v>
      </c>
      <c r="AD391" s="40">
        <f>(U391+W391+Z391+AB391+AA391+VLOOKUP(C391,[1]apoio_Prec_Folha!$A:$S,7,FALSE))*AC391</f>
        <v>206.65661572358638</v>
      </c>
      <c r="AE391" s="42">
        <f>VLOOKUP(D391,[1]apoio_Preços_MGS!$A$6:$AN$238,36,FALSE)</f>
        <v>7.0000000000000007E-2</v>
      </c>
      <c r="AF391" s="40">
        <f>(U391+W391+Z391+AB391+AD391+AA391+VLOOKUP(C391,[1]apoio_Prec_Folha!$A:$S,7,FALSE))*AE391</f>
        <v>454.56024667809487</v>
      </c>
      <c r="AG391" s="40">
        <f t="shared" si="200"/>
        <v>6359.88</v>
      </c>
      <c r="AH391" s="43">
        <f t="shared" si="201"/>
        <v>7289.24</v>
      </c>
      <c r="AI391" s="43">
        <f t="shared" si="202"/>
        <v>36446.199999999997</v>
      </c>
      <c r="AJ391" s="43">
        <f t="shared" si="203"/>
        <v>2186772</v>
      </c>
      <c r="AK391" s="44">
        <f>VLOOKUP(D391,[1]apoio_Preços_MGS!$A$6:$AN$238,39,FALSE)</f>
        <v>200.00000000000003</v>
      </c>
      <c r="AL391" s="44">
        <f>IF(J391="demais municípios",VLOOKUP(D391,[1]apoio_Preços_MGS!$A$6:$AN$238,39,FALSE),0)</f>
        <v>200.00000000000003</v>
      </c>
      <c r="AM391" s="44">
        <v>0</v>
      </c>
      <c r="AN391" s="45">
        <f t="shared" si="218"/>
        <v>1000.0000000000001</v>
      </c>
      <c r="AO391" s="44">
        <f>VLOOKUP(D391,[1]apoio_Preços_MGS!$A$6:$AN$238,40,FALSE)</f>
        <v>588.39</v>
      </c>
      <c r="AP391" s="44">
        <f>IF(J391="demais municípios",VLOOKUP(D391,[1]apoio_Preços_MGS!$A$6:$AN$238,40,FALSE),0)</f>
        <v>588.39</v>
      </c>
      <c r="AQ391" s="44">
        <v>0</v>
      </c>
      <c r="AR391" s="45">
        <f t="shared" si="219"/>
        <v>2941.95</v>
      </c>
      <c r="AS391" s="45">
        <f t="shared" si="220"/>
        <v>3941.95</v>
      </c>
      <c r="AT391" s="45">
        <f t="shared" ref="AT391:AT458" si="221">(AN391+AR391)*60</f>
        <v>236517</v>
      </c>
      <c r="AU391" s="62"/>
      <c r="AV391" s="46"/>
      <c r="AW391" s="47"/>
      <c r="AX391" s="48"/>
      <c r="AY391" s="49"/>
      <c r="BA391" s="48"/>
    </row>
    <row r="392" spans="1:53" ht="19.5" customHeight="1" x14ac:dyDescent="0.25">
      <c r="A392" s="33" t="str">
        <f t="shared" si="216"/>
        <v>63886440,04</v>
      </c>
      <c r="B392" s="33" t="str">
        <f t="shared" si="217"/>
        <v>980,04</v>
      </c>
      <c r="C392" s="34" t="str">
        <f>VLOOKUP(D392,[1]apoio_Preços_MGS!$A$6:$B$238,2,FALSE)</f>
        <v>MOTORISTA DE CAMINHÃO</v>
      </c>
      <c r="D392" s="35">
        <v>98</v>
      </c>
      <c r="E392" s="33" t="str">
        <f>VLOOKUP(D392,[1]apoio_Preços_MGS!$A$6:$F$238,6,FALSE)</f>
        <v>MOTORISTA DE CAMINHÃO - DIARISTA DIURNO - 44H</v>
      </c>
      <c r="F392" s="36">
        <f>IFERROR(VLOOKUP(D392,'[1]apoio_cód catmas'!$B$2:$C$863,2,FALSE),0)</f>
        <v>63886</v>
      </c>
      <c r="G392" s="33" t="str">
        <f>IF(H392="N/A",VLOOKUP(F392&amp;40,'[1]apoio_cód catmas'!$A$1:$G$233,4,FALSE),VLOOKUP(F392&amp;H392,'[1]apoio_cód catmas'!$A$1:$G$233,4,FALSE))</f>
        <v>MOTORISTA DE CAMINHAO - 44H</v>
      </c>
      <c r="H392" s="36">
        <v>44</v>
      </c>
      <c r="I392" s="37">
        <v>0.04</v>
      </c>
      <c r="J392" s="38" t="s">
        <v>46</v>
      </c>
      <c r="K392" s="39">
        <v>2</v>
      </c>
      <c r="L392" s="39">
        <f t="shared" si="196"/>
        <v>120</v>
      </c>
      <c r="M392" s="40">
        <f>VLOOKUP(D392,[1]apoio_Preços_MGS!$A$6:$AN$238,18,FALSE)</f>
        <v>3046.4749092553202</v>
      </c>
      <c r="N392" s="40">
        <f>VLOOKUP(D392,[1]apoio_Preços_MGS!$A$6:$AN$238,19,FALSE)</f>
        <v>0</v>
      </c>
      <c r="O392" s="40">
        <f>VLOOKUP(D392,[1]apoio_Preços_MGS!$A$6:$AN$238,20,FALSE)</f>
        <v>0</v>
      </c>
      <c r="P392" s="40">
        <f>VLOOKUP(D392,[1]apoio_Preços_MGS!$A$6:$AN$238,21,FALSE)</f>
        <v>0</v>
      </c>
      <c r="Q392" s="40">
        <f>VLOOKUP(D392,[1]apoio_Preços_MGS!$A$6:$AN$238,22,FALSE)</f>
        <v>0</v>
      </c>
      <c r="R392" s="40">
        <f>VLOOKUP(D392,[1]apoio_Preços_MGS!$A$6:$AN$238,23,FALSE)</f>
        <v>0</v>
      </c>
      <c r="S392" s="40">
        <f>VLOOKUP(D392,[1]apoio_Preços_MGS!$A$6:$AN$238,24,FALSE)</f>
        <v>0</v>
      </c>
      <c r="T392" s="40">
        <f>VLOOKUP(D392,[1]apoio_Preços_MGS!$A$6:$AN$238,25,FALSE)</f>
        <v>0</v>
      </c>
      <c r="U392" s="40">
        <f t="shared" si="214"/>
        <v>3046.4749092553202</v>
      </c>
      <c r="V392" s="41">
        <f>VLOOKUP(D392,[1]apoio_Preços_MGS!$A$6:$AN$238,27,FALSE)</f>
        <v>0.81799999999999995</v>
      </c>
      <c r="W392" s="40">
        <f t="shared" si="215"/>
        <v>2492.0164757708517</v>
      </c>
      <c r="X392" s="40">
        <f>VLOOKUP(D392,[1]apoio_Preços_MGS!$A$6:$AN$238,29,FALSE)</f>
        <v>44.339166666666664</v>
      </c>
      <c r="Y392" s="40">
        <f>VLOOKUP(D392,[1]apoio_Preços_MGS!$A$6:$AN$238,30,FALSE)</f>
        <v>7.6023210831721473</v>
      </c>
      <c r="Z392" s="40">
        <f t="shared" si="199"/>
        <v>51.941487749838814</v>
      </c>
      <c r="AA392" s="40">
        <f>VLOOKUP(D392,[1]apoio_Preços_MGS!$A$6:$AN$238,32,FALSE)</f>
        <v>5.8492318257702145</v>
      </c>
      <c r="AB392" s="40">
        <f>VLOOKUP(D392,[1]apoio_Preços_MGS!$A$6:$AN$238,33,FALSE)</f>
        <v>102.38738723404258</v>
      </c>
      <c r="AC392" s="41">
        <f>VLOOKUP(D392,[1]apoio_Preços_MGS!$A$6:$AN$238,34,FALSE)</f>
        <v>3.2870145422158062E-2</v>
      </c>
      <c r="AD392" s="40">
        <f>(U392+W392+Z392+AB392+AA392+VLOOKUP(C392,[1]apoio_Prec_Folha!$A:$S,7,FALSE))*AC392</f>
        <v>206.65661572358638</v>
      </c>
      <c r="AE392" s="42">
        <f>VLOOKUP(D392,[1]apoio_Preços_MGS!$A$6:$AN$238,36,FALSE)</f>
        <v>7.0000000000000007E-2</v>
      </c>
      <c r="AF392" s="40">
        <f>(U392+W392+Z392+AB392+AD392+AA392+VLOOKUP(C392,[1]apoio_Prec_Folha!$A:$S,7,FALSE))*AE392</f>
        <v>454.56024667809487</v>
      </c>
      <c r="AG392" s="40">
        <f t="shared" si="200"/>
        <v>6359.88</v>
      </c>
      <c r="AH392" s="43">
        <f t="shared" si="201"/>
        <v>7331.28</v>
      </c>
      <c r="AI392" s="43">
        <f t="shared" si="202"/>
        <v>14662.56</v>
      </c>
      <c r="AJ392" s="43">
        <f t="shared" si="203"/>
        <v>879753.6</v>
      </c>
      <c r="AK392" s="44">
        <f>VLOOKUP(D392,[1]apoio_Preços_MGS!$A$6:$AN$238,39,FALSE)</f>
        <v>200.00000000000003</v>
      </c>
      <c r="AL392" s="44">
        <f>IF(J392="demais municípios",VLOOKUP(D392,[1]apoio_Preços_MGS!$A$6:$AN$238,39,FALSE),0)</f>
        <v>200.00000000000003</v>
      </c>
      <c r="AM392" s="44">
        <v>0</v>
      </c>
      <c r="AN392" s="45">
        <f t="shared" si="218"/>
        <v>400.00000000000006</v>
      </c>
      <c r="AO392" s="44">
        <f>VLOOKUP(D392,[1]apoio_Preços_MGS!$A$6:$AN$238,40,FALSE)</f>
        <v>588.39</v>
      </c>
      <c r="AP392" s="44">
        <f>IF(J392="demais municípios",VLOOKUP(D392,[1]apoio_Preços_MGS!$A$6:$AN$238,40,FALSE),0)</f>
        <v>588.39</v>
      </c>
      <c r="AQ392" s="44">
        <v>0</v>
      </c>
      <c r="AR392" s="45">
        <f t="shared" si="219"/>
        <v>1176.78</v>
      </c>
      <c r="AS392" s="45">
        <f t="shared" si="220"/>
        <v>1576.78</v>
      </c>
      <c r="AT392" s="45">
        <f t="shared" si="221"/>
        <v>94606.8</v>
      </c>
      <c r="AU392" s="62"/>
      <c r="AV392" s="46"/>
      <c r="AW392" s="47"/>
      <c r="AX392" s="48"/>
      <c r="AY392" s="49"/>
      <c r="BA392" s="48"/>
    </row>
    <row r="393" spans="1:53" ht="19.5" customHeight="1" x14ac:dyDescent="0.25">
      <c r="A393" s="33" t="str">
        <f t="shared" si="216"/>
        <v>63886440,05</v>
      </c>
      <c r="B393" s="33" t="str">
        <f t="shared" si="217"/>
        <v>980,05</v>
      </c>
      <c r="C393" s="34" t="str">
        <f>VLOOKUP(D393,[1]apoio_Preços_MGS!$A$6:$B$238,2,FALSE)</f>
        <v>MOTORISTA DE CAMINHÃO</v>
      </c>
      <c r="D393" s="35">
        <v>98</v>
      </c>
      <c r="E393" s="33" t="str">
        <f>VLOOKUP(D393,[1]apoio_Preços_MGS!$A$6:$F$238,6,FALSE)</f>
        <v>MOTORISTA DE CAMINHÃO - DIARISTA DIURNO - 44H</v>
      </c>
      <c r="F393" s="36">
        <f>IFERROR(VLOOKUP(D393,'[1]apoio_cód catmas'!$B$2:$C$863,2,FALSE),0)</f>
        <v>63886</v>
      </c>
      <c r="G393" s="33" t="str">
        <f>IF(H393="N/A",VLOOKUP(F393&amp;40,'[1]apoio_cód catmas'!$A$1:$G$233,4,FALSE),VLOOKUP(F393&amp;H393,'[1]apoio_cód catmas'!$A$1:$G$233,4,FALSE))</f>
        <v>MOTORISTA DE CAMINHAO - 44H</v>
      </c>
      <c r="H393" s="36">
        <v>44</v>
      </c>
      <c r="I393" s="37">
        <v>0.05</v>
      </c>
      <c r="J393" s="38" t="s">
        <v>46</v>
      </c>
      <c r="K393" s="39">
        <f>56-K394</f>
        <v>2</v>
      </c>
      <c r="L393" s="39">
        <f t="shared" si="196"/>
        <v>120</v>
      </c>
      <c r="M393" s="40">
        <f>VLOOKUP(D393,[1]apoio_Preços_MGS!$A$6:$AN$238,18,FALSE)</f>
        <v>3046.4749092553202</v>
      </c>
      <c r="N393" s="40">
        <f>VLOOKUP(D393,[1]apoio_Preços_MGS!$A$6:$AN$238,19,FALSE)</f>
        <v>0</v>
      </c>
      <c r="O393" s="40">
        <f>VLOOKUP(D393,[1]apoio_Preços_MGS!$A$6:$AN$238,20,FALSE)</f>
        <v>0</v>
      </c>
      <c r="P393" s="40">
        <f>VLOOKUP(D393,[1]apoio_Preços_MGS!$A$6:$AN$238,21,FALSE)</f>
        <v>0</v>
      </c>
      <c r="Q393" s="40">
        <f>VLOOKUP(D393,[1]apoio_Preços_MGS!$A$6:$AN$238,22,FALSE)</f>
        <v>0</v>
      </c>
      <c r="R393" s="40">
        <f>VLOOKUP(D393,[1]apoio_Preços_MGS!$A$6:$AN$238,23,FALSE)</f>
        <v>0</v>
      </c>
      <c r="S393" s="40">
        <f>VLOOKUP(D393,[1]apoio_Preços_MGS!$A$6:$AN$238,24,FALSE)</f>
        <v>0</v>
      </c>
      <c r="T393" s="40">
        <f>VLOOKUP(D393,[1]apoio_Preços_MGS!$A$6:$AN$238,25,FALSE)</f>
        <v>0</v>
      </c>
      <c r="U393" s="40">
        <f t="shared" si="214"/>
        <v>3046.4749092553202</v>
      </c>
      <c r="V393" s="41">
        <f>VLOOKUP(D393,[1]apoio_Preços_MGS!$A$6:$AN$238,27,FALSE)</f>
        <v>0.81799999999999995</v>
      </c>
      <c r="W393" s="40">
        <f t="shared" si="215"/>
        <v>2492.0164757708517</v>
      </c>
      <c r="X393" s="40">
        <f>VLOOKUP(D393,[1]apoio_Preços_MGS!$A$6:$AN$238,29,FALSE)</f>
        <v>44.339166666666664</v>
      </c>
      <c r="Y393" s="40">
        <f>VLOOKUP(D393,[1]apoio_Preços_MGS!$A$6:$AN$238,30,FALSE)</f>
        <v>7.6023210831721473</v>
      </c>
      <c r="Z393" s="40">
        <f t="shared" si="199"/>
        <v>51.941487749838814</v>
      </c>
      <c r="AA393" s="40">
        <f>VLOOKUP(D393,[1]apoio_Preços_MGS!$A$6:$AN$238,32,FALSE)</f>
        <v>5.8492318257702145</v>
      </c>
      <c r="AB393" s="40">
        <f>VLOOKUP(D393,[1]apoio_Preços_MGS!$A$6:$AN$238,33,FALSE)</f>
        <v>102.38738723404258</v>
      </c>
      <c r="AC393" s="41">
        <f>VLOOKUP(D393,[1]apoio_Preços_MGS!$A$6:$AN$238,34,FALSE)</f>
        <v>3.2870145422158062E-2</v>
      </c>
      <c r="AD393" s="40">
        <f>(U393+W393+Z393+AB393+AA393+VLOOKUP(C393,[1]apoio_Prec_Folha!$A:$S,7,FALSE))*AC393</f>
        <v>206.65661572358638</v>
      </c>
      <c r="AE393" s="42">
        <f>VLOOKUP(D393,[1]apoio_Preços_MGS!$A$6:$AN$238,36,FALSE)</f>
        <v>7.0000000000000007E-2</v>
      </c>
      <c r="AF393" s="40">
        <f>(U393+W393+Z393+AB393+AD393+AA393+VLOOKUP(C393,[1]apoio_Prec_Folha!$A:$S,7,FALSE))*AE393</f>
        <v>454.56024667809487</v>
      </c>
      <c r="AG393" s="40">
        <f t="shared" si="200"/>
        <v>6359.88</v>
      </c>
      <c r="AH393" s="43">
        <f t="shared" si="201"/>
        <v>7416.76</v>
      </c>
      <c r="AI393" s="43">
        <f t="shared" si="202"/>
        <v>14833.52</v>
      </c>
      <c r="AJ393" s="43">
        <f t="shared" si="203"/>
        <v>890011.20000000007</v>
      </c>
      <c r="AK393" s="44">
        <f>VLOOKUP(D393,[1]apoio_Preços_MGS!$A$6:$AN$238,39,FALSE)</f>
        <v>200.00000000000003</v>
      </c>
      <c r="AL393" s="44">
        <f>IF(J393="demais municípios",VLOOKUP(D393,[1]apoio_Preços_MGS!$A$6:$AN$238,39,FALSE),0)</f>
        <v>200.00000000000003</v>
      </c>
      <c r="AM393" s="44">
        <v>0</v>
      </c>
      <c r="AN393" s="45">
        <f t="shared" si="218"/>
        <v>400.00000000000006</v>
      </c>
      <c r="AO393" s="44">
        <f>VLOOKUP(D393,[1]apoio_Preços_MGS!$A$6:$AN$238,40,FALSE)</f>
        <v>588.39</v>
      </c>
      <c r="AP393" s="44">
        <f>IF(J393="demais municípios",VLOOKUP(D393,[1]apoio_Preços_MGS!$A$6:$AN$238,40,FALSE),0)</f>
        <v>588.39</v>
      </c>
      <c r="AQ393" s="44">
        <v>0</v>
      </c>
      <c r="AR393" s="45">
        <f t="shared" si="219"/>
        <v>1176.78</v>
      </c>
      <c r="AS393" s="45">
        <f t="shared" si="220"/>
        <v>1576.78</v>
      </c>
      <c r="AT393" s="45">
        <f t="shared" si="221"/>
        <v>94606.8</v>
      </c>
      <c r="AU393" s="62"/>
      <c r="AV393" s="46"/>
      <c r="AW393" s="47"/>
      <c r="AX393" s="48"/>
      <c r="AY393" s="49"/>
      <c r="BA393" s="48"/>
    </row>
    <row r="394" spans="1:53" ht="19.5" customHeight="1" x14ac:dyDescent="0.25">
      <c r="A394" s="33" t="str">
        <f t="shared" si="216"/>
        <v>63886440,05</v>
      </c>
      <c r="B394" s="33" t="str">
        <f t="shared" si="217"/>
        <v>980,05</v>
      </c>
      <c r="C394" s="34" t="str">
        <f>VLOOKUP(D394,[1]apoio_Preços_MGS!$A$6:$B$238,2,FALSE)</f>
        <v>MOTORISTA DE CAMINHÃO</v>
      </c>
      <c r="D394" s="35">
        <v>98</v>
      </c>
      <c r="E394" s="33" t="str">
        <f>VLOOKUP(D394,[1]apoio_Preços_MGS!$A$6:$F$238,6,FALSE)</f>
        <v>MOTORISTA DE CAMINHÃO - DIARISTA DIURNO - 44H</v>
      </c>
      <c r="F394" s="36">
        <f>IFERROR(VLOOKUP(D394,'[1]apoio_cód catmas'!$B$2:$C$863,2,FALSE),0)</f>
        <v>63886</v>
      </c>
      <c r="G394" s="33" t="str">
        <f>IF(H394="N/A",VLOOKUP(F394&amp;40,'[1]apoio_cód catmas'!$A$1:$G$233,4,FALSE),VLOOKUP(F394&amp;H394,'[1]apoio_cód catmas'!$A$1:$G$233,4,FALSE))</f>
        <v>MOTORISTA DE CAMINHAO - 44H</v>
      </c>
      <c r="H394" s="36">
        <v>44</v>
      </c>
      <c r="I394" s="37">
        <v>0.05</v>
      </c>
      <c r="J394" s="38" t="s">
        <v>47</v>
      </c>
      <c r="K394" s="39">
        <v>54</v>
      </c>
      <c r="L394" s="39">
        <f t="shared" si="196"/>
        <v>3240</v>
      </c>
      <c r="M394" s="40">
        <f>VLOOKUP(D394,[1]apoio_Preços_MGS!$A$6:$AN$238,18,FALSE)</f>
        <v>3046.4749092553202</v>
      </c>
      <c r="N394" s="40">
        <f>VLOOKUP(D394,[1]apoio_Preços_MGS!$A$6:$AN$238,19,FALSE)</f>
        <v>0</v>
      </c>
      <c r="O394" s="40">
        <f>VLOOKUP(D394,[1]apoio_Preços_MGS!$A$6:$AN$238,20,FALSE)</f>
        <v>0</v>
      </c>
      <c r="P394" s="40">
        <f>VLOOKUP(D394,[1]apoio_Preços_MGS!$A$6:$AN$238,21,FALSE)</f>
        <v>0</v>
      </c>
      <c r="Q394" s="40">
        <f>VLOOKUP(D394,[1]apoio_Preços_MGS!$A$6:$AN$238,22,FALSE)</f>
        <v>0</v>
      </c>
      <c r="R394" s="40">
        <f>VLOOKUP(D394,[1]apoio_Preços_MGS!$A$6:$AN$238,23,FALSE)</f>
        <v>0</v>
      </c>
      <c r="S394" s="40">
        <f>VLOOKUP(D394,[1]apoio_Preços_MGS!$A$6:$AN$238,24,FALSE)</f>
        <v>0</v>
      </c>
      <c r="T394" s="40">
        <f>VLOOKUP(D394,[1]apoio_Preços_MGS!$A$6:$AN$238,25,FALSE)</f>
        <v>0</v>
      </c>
      <c r="U394" s="40">
        <f t="shared" si="214"/>
        <v>3046.4749092553202</v>
      </c>
      <c r="V394" s="41">
        <f>VLOOKUP(D394,[1]apoio_Preços_MGS!$A$6:$AN$238,27,FALSE)</f>
        <v>0.81799999999999995</v>
      </c>
      <c r="W394" s="40">
        <f t="shared" si="215"/>
        <v>2492.0164757708517</v>
      </c>
      <c r="X394" s="40">
        <f>VLOOKUP(D394,[1]apoio_Preços_MGS!$A$6:$AN$238,29,FALSE)</f>
        <v>44.339166666666664</v>
      </c>
      <c r="Y394" s="40">
        <f>VLOOKUP(D394,[1]apoio_Preços_MGS!$A$6:$AN$238,30,FALSE)</f>
        <v>7.6023210831721473</v>
      </c>
      <c r="Z394" s="40">
        <f t="shared" si="199"/>
        <v>51.941487749838814</v>
      </c>
      <c r="AA394" s="40">
        <f>VLOOKUP(D394,[1]apoio_Preços_MGS!$A$6:$AN$238,32,FALSE)</f>
        <v>5.8492318257702145</v>
      </c>
      <c r="AB394" s="40">
        <f>VLOOKUP(D394,[1]apoio_Preços_MGS!$A$6:$AN$238,33,FALSE)</f>
        <v>102.38738723404258</v>
      </c>
      <c r="AC394" s="41">
        <f>VLOOKUP(D394,[1]apoio_Preços_MGS!$A$6:$AN$238,34,FALSE)</f>
        <v>3.2870145422158062E-2</v>
      </c>
      <c r="AD394" s="40">
        <f>(U394+W394+Z394+AB394+AA394+VLOOKUP(C394,[1]apoio_Prec_Folha!$A:$S,7,FALSE))*AC394</f>
        <v>206.65661572358638</v>
      </c>
      <c r="AE394" s="42">
        <f>VLOOKUP(D394,[1]apoio_Preços_MGS!$A$6:$AN$238,36,FALSE)</f>
        <v>7.0000000000000007E-2</v>
      </c>
      <c r="AF394" s="40">
        <f>(U394+W394+Z394+AB394+AD394+AA394+VLOOKUP(C394,[1]apoio_Prec_Folha!$A:$S,7,FALSE))*AE394</f>
        <v>454.56024667809487</v>
      </c>
      <c r="AG394" s="40">
        <f t="shared" si="200"/>
        <v>6359.88</v>
      </c>
      <c r="AH394" s="43">
        <f t="shared" si="201"/>
        <v>7416.76</v>
      </c>
      <c r="AI394" s="43">
        <f t="shared" si="202"/>
        <v>400505.04000000004</v>
      </c>
      <c r="AJ394" s="43">
        <f t="shared" si="203"/>
        <v>24030302.400000002</v>
      </c>
      <c r="AK394" s="44">
        <f>VLOOKUP(D394,[1]apoio_Preços_MGS!$A$6:$AN$238,39,FALSE)</f>
        <v>200.00000000000003</v>
      </c>
      <c r="AL394" s="44">
        <f>IF(J394="demais municípios",VLOOKUP(D394,[1]apoio_Preços_MGS!$A$6:$AN$238,39,FALSE),0)</f>
        <v>0</v>
      </c>
      <c r="AM394" s="44">
        <v>0</v>
      </c>
      <c r="AN394" s="45">
        <f t="shared" ref="AN394:AN452" si="222">AM394*K394</f>
        <v>0</v>
      </c>
      <c r="AO394" s="44">
        <f>VLOOKUP(D394,[1]apoio_Preços_MGS!$A$6:$AN$238,40,FALSE)</f>
        <v>588.39</v>
      </c>
      <c r="AP394" s="44">
        <f>IF(J394="demais municípios",VLOOKUP(D394,[1]apoio_Preços_MGS!$A$6:$AN$238,40,FALSE),0)</f>
        <v>0</v>
      </c>
      <c r="AQ394" s="44">
        <f>TRUNC(ROUND(($I394)/(1-($I394)),5)*VLOOKUP(D394,[1]apoio_Preços_MGS!$A$6:$AN$238,40,FALSE)+VLOOKUP(D394,[1]apoio_Preços_MGS!$A$6:$AN$238,40,FALSE),2)</f>
        <v>619.35</v>
      </c>
      <c r="AR394" s="45">
        <f t="shared" ref="AR394:AR452" si="223">AQ394*K394</f>
        <v>33444.9</v>
      </c>
      <c r="AS394" s="45">
        <f t="shared" si="220"/>
        <v>33444.9</v>
      </c>
      <c r="AT394" s="45">
        <f t="shared" si="221"/>
        <v>2006694</v>
      </c>
      <c r="AU394" s="62"/>
      <c r="AV394" s="46"/>
      <c r="AW394" s="47"/>
      <c r="AX394" s="48"/>
      <c r="AY394" s="49"/>
      <c r="BA394" s="48"/>
    </row>
    <row r="395" spans="1:53" ht="19.5" customHeight="1" x14ac:dyDescent="0.25">
      <c r="A395" s="33" t="str">
        <f t="shared" si="216"/>
        <v>63398440,02</v>
      </c>
      <c r="B395" s="33" t="str">
        <f t="shared" si="217"/>
        <v>1040,02</v>
      </c>
      <c r="C395" s="34" t="str">
        <f>VLOOKUP(D395,[1]apoio_Preços_MGS!$A$6:$B$238,2,FALSE)</f>
        <v>MOTORISTA DE CAMINHÃO (CARGAS PESADAS)</v>
      </c>
      <c r="D395" s="35">
        <v>104</v>
      </c>
      <c r="E395" s="33" t="str">
        <f>VLOOKUP(D395,[1]apoio_Preços_MGS!$A$6:$F$238,6,FALSE)</f>
        <v>MOTORISTA DE CAMINHÃO (CARGAS PESADAS) - DIARISTA DIURNO - 44H</v>
      </c>
      <c r="F395" s="36">
        <f>IFERROR(VLOOKUP(D395,'[1]apoio_cód catmas'!$B$2:$C$863,2,FALSE),0)</f>
        <v>63398</v>
      </c>
      <c r="G395" s="33" t="str">
        <f>IF(H395="N/A",VLOOKUP(F395&amp;40,'[1]apoio_cód catmas'!$A$1:$G$233,4,FALSE),VLOOKUP(F395&amp;H395,'[1]apoio_cód catmas'!$A$1:$G$233,4,FALSE))</f>
        <v>MOTORISTA DE CAMINHAO (CARGAS PESADAS) - 44H</v>
      </c>
      <c r="H395" s="36">
        <v>44</v>
      </c>
      <c r="I395" s="37">
        <v>0.02</v>
      </c>
      <c r="J395" s="38" t="s">
        <v>46</v>
      </c>
      <c r="K395" s="39">
        <v>6</v>
      </c>
      <c r="L395" s="39">
        <f t="shared" si="196"/>
        <v>360</v>
      </c>
      <c r="M395" s="40">
        <f>VLOOKUP(D395,[1]apoio_Preços_MGS!$A$6:$AN$238,18,FALSE)</f>
        <v>3707.2664999999997</v>
      </c>
      <c r="N395" s="40">
        <f>VLOOKUP(D395,[1]apoio_Preços_MGS!$A$6:$AN$238,19,FALSE)</f>
        <v>0</v>
      </c>
      <c r="O395" s="40">
        <f>VLOOKUP(D395,[1]apoio_Preços_MGS!$A$6:$AN$238,20,FALSE)</f>
        <v>0</v>
      </c>
      <c r="P395" s="40">
        <f>VLOOKUP(D395,[1]apoio_Preços_MGS!$A$6:$AN$238,21,FALSE)</f>
        <v>0</v>
      </c>
      <c r="Q395" s="40">
        <f>VLOOKUP(D395,[1]apoio_Preços_MGS!$A$6:$AN$238,22,FALSE)</f>
        <v>0</v>
      </c>
      <c r="R395" s="40">
        <f>VLOOKUP(D395,[1]apoio_Preços_MGS!$A$6:$AN$238,23,FALSE)</f>
        <v>0</v>
      </c>
      <c r="S395" s="40">
        <f>VLOOKUP(D395,[1]apoio_Preços_MGS!$A$6:$AN$238,24,FALSE)</f>
        <v>0</v>
      </c>
      <c r="T395" s="40">
        <f>VLOOKUP(D395,[1]apoio_Preços_MGS!$A$6:$AN$238,25,FALSE)</f>
        <v>0</v>
      </c>
      <c r="U395" s="40">
        <f t="shared" si="214"/>
        <v>3707.2664999999997</v>
      </c>
      <c r="V395" s="41">
        <f>VLOOKUP(D395,[1]apoio_Preços_MGS!$A$6:$AN$238,27,FALSE)</f>
        <v>0.81799999999999995</v>
      </c>
      <c r="W395" s="40">
        <f t="shared" si="215"/>
        <v>3032.5439969999998</v>
      </c>
      <c r="X395" s="40">
        <f>VLOOKUP(D395,[1]apoio_Preços_MGS!$A$6:$AN$238,29,FALSE)</f>
        <v>48.37</v>
      </c>
      <c r="Y395" s="40">
        <f>VLOOKUP(D395,[1]apoio_Preços_MGS!$A$6:$AN$238,30,FALSE)</f>
        <v>14.545454545454545</v>
      </c>
      <c r="Z395" s="40">
        <f t="shared" si="199"/>
        <v>62.915454545454544</v>
      </c>
      <c r="AA395" s="40">
        <f>VLOOKUP(D395,[1]apoio_Preços_MGS!$A$6:$AN$238,32,FALSE)</f>
        <v>7.1179516799999991</v>
      </c>
      <c r="AB395" s="40">
        <f>VLOOKUP(D395,[1]apoio_Preços_MGS!$A$6:$AN$238,33,FALSE)</f>
        <v>0</v>
      </c>
      <c r="AC395" s="41">
        <f>VLOOKUP(D395,[1]apoio_Preços_MGS!$A$6:$AN$238,34,FALSE)</f>
        <v>0</v>
      </c>
      <c r="AD395" s="40">
        <f>(U395+W395+Z395+AB395+AA395+VLOOKUP(C395,[1]apoio_Prec_Folha!$A:$S,7,FALSE))*AC395</f>
        <v>0</v>
      </c>
      <c r="AE395" s="42">
        <f>VLOOKUP(D395,[1]apoio_Preços_MGS!$A$6:$AN$238,36,FALSE)</f>
        <v>7.0000000000000007E-2</v>
      </c>
      <c r="AF395" s="40">
        <f>(U395+W395+Z395+AB395+AD395+AA395+VLOOKUP(C395,[1]apoio_Prec_Folha!$A:$S,7,FALSE))*AE395</f>
        <v>516.34687322578191</v>
      </c>
      <c r="AG395" s="40">
        <f t="shared" si="200"/>
        <v>7326.19</v>
      </c>
      <c r="AH395" s="43">
        <f t="shared" si="201"/>
        <v>8254.85</v>
      </c>
      <c r="AI395" s="43">
        <f t="shared" si="202"/>
        <v>49529.100000000006</v>
      </c>
      <c r="AJ395" s="43">
        <f t="shared" si="203"/>
        <v>2971746</v>
      </c>
      <c r="AK395" s="44">
        <f>VLOOKUP(D395,[1]apoio_Preços_MGS!$A$6:$AN$238,39,FALSE)</f>
        <v>200.00000000000003</v>
      </c>
      <c r="AL395" s="44">
        <f>IF(J395="demais municípios",VLOOKUP(D395,[1]apoio_Preços_MGS!$A$6:$AN$238,39,FALSE),0)</f>
        <v>200.00000000000003</v>
      </c>
      <c r="AM395" s="44">
        <v>0</v>
      </c>
      <c r="AN395" s="45">
        <f t="shared" ref="AN395:AN400" si="224">AK395*K395</f>
        <v>1200.0000000000002</v>
      </c>
      <c r="AO395" s="44">
        <f>VLOOKUP(D395,[1]apoio_Preços_MGS!$A$6:$AN$238,40,FALSE)</f>
        <v>566.54</v>
      </c>
      <c r="AP395" s="44">
        <f>IF(J395="demais municípios",VLOOKUP(D395,[1]apoio_Preços_MGS!$A$6:$AN$238,40,FALSE),0)</f>
        <v>566.54</v>
      </c>
      <c r="AQ395" s="44">
        <v>0</v>
      </c>
      <c r="AR395" s="45">
        <f t="shared" ref="AR395:AR400" si="225">AO395*K395</f>
        <v>3399.24</v>
      </c>
      <c r="AS395" s="45">
        <f t="shared" si="220"/>
        <v>4599.24</v>
      </c>
      <c r="AT395" s="45">
        <f t="shared" si="221"/>
        <v>275954.39999999997</v>
      </c>
      <c r="AU395" s="62"/>
      <c r="AV395" s="46"/>
      <c r="AW395" s="47"/>
      <c r="AX395" s="48"/>
      <c r="AY395" s="49"/>
      <c r="BA395" s="48"/>
    </row>
    <row r="396" spans="1:53" ht="19.5" customHeight="1" x14ac:dyDescent="0.25">
      <c r="A396" s="33" t="str">
        <f t="shared" si="216"/>
        <v>63410440,02</v>
      </c>
      <c r="B396" s="33" t="str">
        <f t="shared" si="217"/>
        <v>1080,02</v>
      </c>
      <c r="C396" s="34" t="str">
        <f>VLOOKUP(D396,[1]apoio_Preços_MGS!$A$6:$B$238,2,FALSE)</f>
        <v>MOTORISTA DE ÔNIBUS</v>
      </c>
      <c r="D396" s="35">
        <v>108</v>
      </c>
      <c r="E396" s="33" t="str">
        <f>VLOOKUP(D396,[1]apoio_Preços_MGS!$A$6:$F$238,6,FALSE)</f>
        <v>MOTORISTA DE ÔNIBUS - DIARISTA DIURNO - 44H</v>
      </c>
      <c r="F396" s="36">
        <f>IFERROR(VLOOKUP(D396,'[1]apoio_cód catmas'!$B$2:$C$863,2,FALSE),0)</f>
        <v>63410</v>
      </c>
      <c r="G396" s="33" t="str">
        <f>IF(H396="N/A",VLOOKUP(F396&amp;40,'[1]apoio_cód catmas'!$A$1:$G$233,4,FALSE),VLOOKUP(F396&amp;H396,'[1]apoio_cód catmas'!$A$1:$G$233,4,FALSE))</f>
        <v>MOTORISTA DE ONIBUS - 44H</v>
      </c>
      <c r="H396" s="36">
        <v>44</v>
      </c>
      <c r="I396" s="37">
        <v>0.02</v>
      </c>
      <c r="J396" s="38" t="s">
        <v>46</v>
      </c>
      <c r="K396" s="39">
        <v>16</v>
      </c>
      <c r="L396" s="39">
        <f t="shared" si="196"/>
        <v>960</v>
      </c>
      <c r="M396" s="40">
        <f>VLOOKUP(D396,[1]apoio_Preços_MGS!$A$6:$AN$238,18,FALSE)</f>
        <v>3873.8434954225377</v>
      </c>
      <c r="N396" s="40">
        <f>VLOOKUP(D396,[1]apoio_Preços_MGS!$A$6:$AN$238,19,FALSE)</f>
        <v>0</v>
      </c>
      <c r="O396" s="40">
        <f>VLOOKUP(D396,[1]apoio_Preços_MGS!$A$6:$AN$238,20,FALSE)</f>
        <v>0</v>
      </c>
      <c r="P396" s="40">
        <f>VLOOKUP(D396,[1]apoio_Preços_MGS!$A$6:$AN$238,21,FALSE)</f>
        <v>0</v>
      </c>
      <c r="Q396" s="40">
        <f>VLOOKUP(D396,[1]apoio_Preços_MGS!$A$6:$AN$238,22,FALSE)</f>
        <v>0</v>
      </c>
      <c r="R396" s="40">
        <f>VLOOKUP(D396,[1]apoio_Preços_MGS!$A$6:$AN$238,23,FALSE)</f>
        <v>0</v>
      </c>
      <c r="S396" s="40">
        <f>VLOOKUP(D396,[1]apoio_Preços_MGS!$A$6:$AN$238,24,FALSE)</f>
        <v>0</v>
      </c>
      <c r="T396" s="40">
        <f>VLOOKUP(D396,[1]apoio_Preços_MGS!$A$6:$AN$238,25,FALSE)</f>
        <v>0</v>
      </c>
      <c r="U396" s="40">
        <f t="shared" si="214"/>
        <v>3873.8434954225377</v>
      </c>
      <c r="V396" s="41">
        <f>VLOOKUP(D396,[1]apoio_Preços_MGS!$A$6:$AN$238,27,FALSE)</f>
        <v>0.81799999999999995</v>
      </c>
      <c r="W396" s="40">
        <f t="shared" si="215"/>
        <v>3168.8039792556356</v>
      </c>
      <c r="X396" s="40">
        <f>VLOOKUP(D396,[1]apoio_Preços_MGS!$A$6:$AN$238,29,FALSE)</f>
        <v>44.339166666666664</v>
      </c>
      <c r="Y396" s="40">
        <f>VLOOKUP(D396,[1]apoio_Preços_MGS!$A$6:$AN$238,30,FALSE)</f>
        <v>2.8909090909090907</v>
      </c>
      <c r="Z396" s="40">
        <f t="shared" si="199"/>
        <v>47.230075757575754</v>
      </c>
      <c r="AA396" s="40">
        <f>VLOOKUP(D396,[1]apoio_Preços_MGS!$A$6:$AN$238,32,FALSE)</f>
        <v>7.4377795112112715</v>
      </c>
      <c r="AB396" s="40">
        <f>VLOOKUP(D396,[1]apoio_Preços_MGS!$A$6:$AN$238,33,FALSE)</f>
        <v>59.014225352112668</v>
      </c>
      <c r="AC396" s="41">
        <f>VLOOKUP(D396,[1]apoio_Preços_MGS!$A$6:$AN$238,34,FALSE)</f>
        <v>3.2297816973852804E-2</v>
      </c>
      <c r="AD396" s="40">
        <f>(U396+W396+Z396+AB396+AA396+VLOOKUP(C396,[1]apoio_Prec_Folha!$A:$S,7,FALSE))*AC396</f>
        <v>250.12107192218809</v>
      </c>
      <c r="AE396" s="42">
        <f>VLOOKUP(D396,[1]apoio_Preços_MGS!$A$6:$AN$238,36,FALSE)</f>
        <v>7.0000000000000007E-2</v>
      </c>
      <c r="AF396" s="40">
        <f>(U396+W396+Z396+AB396+AD396+AA396+VLOOKUP(C396,[1]apoio_Prec_Folha!$A:$S,7,FALSE))*AE396</f>
        <v>559.6031636237982</v>
      </c>
      <c r="AG396" s="40">
        <f t="shared" si="200"/>
        <v>7966.05</v>
      </c>
      <c r="AH396" s="43">
        <f t="shared" si="201"/>
        <v>8975.82</v>
      </c>
      <c r="AI396" s="43">
        <f t="shared" si="202"/>
        <v>143613.12</v>
      </c>
      <c r="AJ396" s="43">
        <f t="shared" si="203"/>
        <v>8616787.1999999993</v>
      </c>
      <c r="AK396" s="44">
        <f>VLOOKUP(D396,[1]apoio_Preços_MGS!$A$6:$AN$238,39,FALSE)</f>
        <v>200.00000000000003</v>
      </c>
      <c r="AL396" s="44">
        <f>IF(J396="demais municípios",VLOOKUP(D396,[1]apoio_Preços_MGS!$A$6:$AN$238,39,FALSE),0)</f>
        <v>200.00000000000003</v>
      </c>
      <c r="AM396" s="44">
        <v>0</v>
      </c>
      <c r="AN396" s="45">
        <f t="shared" si="224"/>
        <v>3200.0000000000005</v>
      </c>
      <c r="AO396" s="44">
        <f>VLOOKUP(D396,[1]apoio_Preços_MGS!$A$6:$AN$238,40,FALSE)</f>
        <v>587.88</v>
      </c>
      <c r="AP396" s="44">
        <f>IF(J396="demais municípios",VLOOKUP(D396,[1]apoio_Preços_MGS!$A$6:$AN$238,40,FALSE),0)</f>
        <v>587.88</v>
      </c>
      <c r="AQ396" s="44">
        <v>0</v>
      </c>
      <c r="AR396" s="45">
        <f t="shared" si="225"/>
        <v>9406.08</v>
      </c>
      <c r="AS396" s="45">
        <f t="shared" si="220"/>
        <v>12606.08</v>
      </c>
      <c r="AT396" s="45">
        <f t="shared" si="221"/>
        <v>756364.80000000005</v>
      </c>
      <c r="AU396" s="62"/>
      <c r="AV396" s="46"/>
      <c r="AW396" s="47"/>
      <c r="AX396" s="48"/>
      <c r="AY396" s="49"/>
      <c r="BA396" s="48"/>
    </row>
    <row r="397" spans="1:53" ht="19.5" customHeight="1" x14ac:dyDescent="0.25">
      <c r="A397" s="33" t="str">
        <f t="shared" si="216"/>
        <v>63410440,03</v>
      </c>
      <c r="B397" s="33" t="str">
        <f t="shared" si="217"/>
        <v>1080,03</v>
      </c>
      <c r="C397" s="34" t="str">
        <f>VLOOKUP(D397,[1]apoio_Preços_MGS!$A$6:$B$238,2,FALSE)</f>
        <v>MOTORISTA DE ÔNIBUS</v>
      </c>
      <c r="D397" s="35">
        <v>108</v>
      </c>
      <c r="E397" s="33" t="str">
        <f>VLOOKUP(D397,[1]apoio_Preços_MGS!$A$6:$F$238,6,FALSE)</f>
        <v>MOTORISTA DE ÔNIBUS - DIARISTA DIURNO - 44H</v>
      </c>
      <c r="F397" s="36">
        <f>IFERROR(VLOOKUP(D397,'[1]apoio_cód catmas'!$B$2:$C$863,2,FALSE),0)</f>
        <v>63410</v>
      </c>
      <c r="G397" s="33" t="str">
        <f>IF(H397="N/A",VLOOKUP(F397&amp;40,'[1]apoio_cód catmas'!$A$1:$G$233,4,FALSE),VLOOKUP(F397&amp;H397,'[1]apoio_cód catmas'!$A$1:$G$233,4,FALSE))</f>
        <v>MOTORISTA DE ONIBUS - 44H</v>
      </c>
      <c r="H397" s="36">
        <v>44</v>
      </c>
      <c r="I397" s="37">
        <v>0.03</v>
      </c>
      <c r="J397" s="38" t="s">
        <v>46</v>
      </c>
      <c r="K397" s="39">
        <v>19</v>
      </c>
      <c r="L397" s="39">
        <f t="shared" si="196"/>
        <v>1140</v>
      </c>
      <c r="M397" s="40">
        <f>VLOOKUP(D397,[1]apoio_Preços_MGS!$A$6:$AN$238,18,FALSE)</f>
        <v>3873.8434954225377</v>
      </c>
      <c r="N397" s="40">
        <f>VLOOKUP(D397,[1]apoio_Preços_MGS!$A$6:$AN$238,19,FALSE)</f>
        <v>0</v>
      </c>
      <c r="O397" s="40">
        <f>VLOOKUP(D397,[1]apoio_Preços_MGS!$A$6:$AN$238,20,FALSE)</f>
        <v>0</v>
      </c>
      <c r="P397" s="40">
        <f>VLOOKUP(D397,[1]apoio_Preços_MGS!$A$6:$AN$238,21,FALSE)</f>
        <v>0</v>
      </c>
      <c r="Q397" s="40">
        <f>VLOOKUP(D397,[1]apoio_Preços_MGS!$A$6:$AN$238,22,FALSE)</f>
        <v>0</v>
      </c>
      <c r="R397" s="40">
        <f>VLOOKUP(D397,[1]apoio_Preços_MGS!$A$6:$AN$238,23,FALSE)</f>
        <v>0</v>
      </c>
      <c r="S397" s="40">
        <f>VLOOKUP(D397,[1]apoio_Preços_MGS!$A$6:$AN$238,24,FALSE)</f>
        <v>0</v>
      </c>
      <c r="T397" s="40">
        <f>VLOOKUP(D397,[1]apoio_Preços_MGS!$A$6:$AN$238,25,FALSE)</f>
        <v>0</v>
      </c>
      <c r="U397" s="40">
        <f t="shared" si="214"/>
        <v>3873.8434954225377</v>
      </c>
      <c r="V397" s="41">
        <f>VLOOKUP(D397,[1]apoio_Preços_MGS!$A$6:$AN$238,27,FALSE)</f>
        <v>0.81799999999999995</v>
      </c>
      <c r="W397" s="40">
        <f t="shared" si="215"/>
        <v>3168.8039792556356</v>
      </c>
      <c r="X397" s="40">
        <f>VLOOKUP(D397,[1]apoio_Preços_MGS!$A$6:$AN$238,29,FALSE)</f>
        <v>44.339166666666664</v>
      </c>
      <c r="Y397" s="40">
        <f>VLOOKUP(D397,[1]apoio_Preços_MGS!$A$6:$AN$238,30,FALSE)</f>
        <v>2.8909090909090907</v>
      </c>
      <c r="Z397" s="40">
        <f t="shared" si="199"/>
        <v>47.230075757575754</v>
      </c>
      <c r="AA397" s="40">
        <f>VLOOKUP(D397,[1]apoio_Preços_MGS!$A$6:$AN$238,32,FALSE)</f>
        <v>7.4377795112112715</v>
      </c>
      <c r="AB397" s="40">
        <f>VLOOKUP(D397,[1]apoio_Preços_MGS!$A$6:$AN$238,33,FALSE)</f>
        <v>59.014225352112668</v>
      </c>
      <c r="AC397" s="41">
        <f>VLOOKUP(D397,[1]apoio_Preços_MGS!$A$6:$AN$238,34,FALSE)</f>
        <v>3.2297816973852804E-2</v>
      </c>
      <c r="AD397" s="40">
        <f>(U397+W397+Z397+AB397+AA397+VLOOKUP(C397,[1]apoio_Prec_Folha!$A:$S,7,FALSE))*AC397</f>
        <v>250.12107192218809</v>
      </c>
      <c r="AE397" s="42">
        <f>VLOOKUP(D397,[1]apoio_Preços_MGS!$A$6:$AN$238,36,FALSE)</f>
        <v>7.0000000000000007E-2</v>
      </c>
      <c r="AF397" s="40">
        <f>(U397+W397+Z397+AB397+AD397+AA397+VLOOKUP(C397,[1]apoio_Prec_Folha!$A:$S,7,FALSE))*AE397</f>
        <v>559.6031636237982</v>
      </c>
      <c r="AG397" s="40">
        <f t="shared" si="200"/>
        <v>7966.05</v>
      </c>
      <c r="AH397" s="43">
        <f t="shared" si="201"/>
        <v>9078.11</v>
      </c>
      <c r="AI397" s="43">
        <f t="shared" si="202"/>
        <v>172484.09000000003</v>
      </c>
      <c r="AJ397" s="43">
        <f t="shared" si="203"/>
        <v>10349045.4</v>
      </c>
      <c r="AK397" s="44">
        <f>VLOOKUP(D397,[1]apoio_Preços_MGS!$A$6:$AN$238,39,FALSE)</f>
        <v>200.00000000000003</v>
      </c>
      <c r="AL397" s="44">
        <f>IF(J397="demais municípios",VLOOKUP(D397,[1]apoio_Preços_MGS!$A$6:$AN$238,39,FALSE),0)</f>
        <v>200.00000000000003</v>
      </c>
      <c r="AM397" s="44">
        <v>0</v>
      </c>
      <c r="AN397" s="45">
        <f t="shared" si="224"/>
        <v>3800.0000000000005</v>
      </c>
      <c r="AO397" s="44">
        <f>VLOOKUP(D397,[1]apoio_Preços_MGS!$A$6:$AN$238,40,FALSE)</f>
        <v>587.88</v>
      </c>
      <c r="AP397" s="44">
        <f>IF(J397="demais municípios",VLOOKUP(D397,[1]apoio_Preços_MGS!$A$6:$AN$238,40,FALSE),0)</f>
        <v>587.88</v>
      </c>
      <c r="AQ397" s="44">
        <v>0</v>
      </c>
      <c r="AR397" s="45">
        <f t="shared" si="225"/>
        <v>11169.72</v>
      </c>
      <c r="AS397" s="45">
        <f t="shared" si="220"/>
        <v>14969.72</v>
      </c>
      <c r="AT397" s="45">
        <f t="shared" si="221"/>
        <v>898183.2</v>
      </c>
      <c r="AU397" s="62"/>
      <c r="AV397" s="46"/>
      <c r="AW397" s="47"/>
      <c r="AX397" s="48"/>
      <c r="AY397" s="49"/>
      <c r="BA397" s="48"/>
    </row>
    <row r="398" spans="1:53" ht="19.5" customHeight="1" x14ac:dyDescent="0.25">
      <c r="A398" s="33" t="str">
        <f t="shared" si="216"/>
        <v>63410440,035</v>
      </c>
      <c r="B398" s="33" t="str">
        <f t="shared" si="217"/>
        <v>1080,035</v>
      </c>
      <c r="C398" s="34" t="str">
        <f>VLOOKUP(D398,[1]apoio_Preços_MGS!$A$6:$B$238,2,FALSE)</f>
        <v>MOTORISTA DE ÔNIBUS</v>
      </c>
      <c r="D398" s="35">
        <v>108</v>
      </c>
      <c r="E398" s="33" t="str">
        <f>VLOOKUP(D398,[1]apoio_Preços_MGS!$A$6:$F$238,6,FALSE)</f>
        <v>MOTORISTA DE ÔNIBUS - DIARISTA DIURNO - 44H</v>
      </c>
      <c r="F398" s="36">
        <f>IFERROR(VLOOKUP(D398,'[1]apoio_cód catmas'!$B$2:$C$863,2,FALSE),0)</f>
        <v>63410</v>
      </c>
      <c r="G398" s="33" t="str">
        <f>IF(H398="N/A",VLOOKUP(F398&amp;40,'[1]apoio_cód catmas'!$A$1:$G$233,4,FALSE),VLOOKUP(F398&amp;H398,'[1]apoio_cód catmas'!$A$1:$G$233,4,FALSE))</f>
        <v>MOTORISTA DE ONIBUS - 44H</v>
      </c>
      <c r="H398" s="36">
        <v>44</v>
      </c>
      <c r="I398" s="37">
        <v>3.5000000000000003E-2</v>
      </c>
      <c r="J398" s="38" t="s">
        <v>46</v>
      </c>
      <c r="K398" s="39">
        <v>2</v>
      </c>
      <c r="L398" s="39">
        <f t="shared" si="196"/>
        <v>120</v>
      </c>
      <c r="M398" s="40">
        <f>VLOOKUP(D398,[1]apoio_Preços_MGS!$A$6:$AN$238,18,FALSE)</f>
        <v>3873.8434954225377</v>
      </c>
      <c r="N398" s="40">
        <f>VLOOKUP(D398,[1]apoio_Preços_MGS!$A$6:$AN$238,19,FALSE)</f>
        <v>0</v>
      </c>
      <c r="O398" s="40">
        <f>VLOOKUP(D398,[1]apoio_Preços_MGS!$A$6:$AN$238,20,FALSE)</f>
        <v>0</v>
      </c>
      <c r="P398" s="40">
        <f>VLOOKUP(D398,[1]apoio_Preços_MGS!$A$6:$AN$238,21,FALSE)</f>
        <v>0</v>
      </c>
      <c r="Q398" s="40">
        <f>VLOOKUP(D398,[1]apoio_Preços_MGS!$A$6:$AN$238,22,FALSE)</f>
        <v>0</v>
      </c>
      <c r="R398" s="40">
        <f>VLOOKUP(D398,[1]apoio_Preços_MGS!$A$6:$AN$238,23,FALSE)</f>
        <v>0</v>
      </c>
      <c r="S398" s="40">
        <f>VLOOKUP(D398,[1]apoio_Preços_MGS!$A$6:$AN$238,24,FALSE)</f>
        <v>0</v>
      </c>
      <c r="T398" s="40">
        <f>VLOOKUP(D398,[1]apoio_Preços_MGS!$A$6:$AN$238,25,FALSE)</f>
        <v>0</v>
      </c>
      <c r="U398" s="40">
        <f t="shared" si="214"/>
        <v>3873.8434954225377</v>
      </c>
      <c r="V398" s="41">
        <f>VLOOKUP(D398,[1]apoio_Preços_MGS!$A$6:$AN$238,27,FALSE)</f>
        <v>0.81799999999999995</v>
      </c>
      <c r="W398" s="40">
        <f t="shared" si="215"/>
        <v>3168.8039792556356</v>
      </c>
      <c r="X398" s="40">
        <f>VLOOKUP(D398,[1]apoio_Preços_MGS!$A$6:$AN$238,29,FALSE)</f>
        <v>44.339166666666664</v>
      </c>
      <c r="Y398" s="40">
        <f>VLOOKUP(D398,[1]apoio_Preços_MGS!$A$6:$AN$238,30,FALSE)</f>
        <v>2.8909090909090907</v>
      </c>
      <c r="Z398" s="40">
        <f t="shared" si="199"/>
        <v>47.230075757575754</v>
      </c>
      <c r="AA398" s="40">
        <f>VLOOKUP(D398,[1]apoio_Preços_MGS!$A$6:$AN$238,32,FALSE)</f>
        <v>7.4377795112112715</v>
      </c>
      <c r="AB398" s="40">
        <f>VLOOKUP(D398,[1]apoio_Preços_MGS!$A$6:$AN$238,33,FALSE)</f>
        <v>59.014225352112668</v>
      </c>
      <c r="AC398" s="41">
        <f>VLOOKUP(D398,[1]apoio_Preços_MGS!$A$6:$AN$238,34,FALSE)</f>
        <v>3.2297816973852804E-2</v>
      </c>
      <c r="AD398" s="40">
        <f>(U398+W398+Z398+AB398+AA398+VLOOKUP(C398,[1]apoio_Prec_Folha!$A:$S,7,FALSE))*AC398</f>
        <v>250.12107192218809</v>
      </c>
      <c r="AE398" s="42">
        <f>VLOOKUP(D398,[1]apoio_Preços_MGS!$A$6:$AN$238,36,FALSE)</f>
        <v>7.0000000000000007E-2</v>
      </c>
      <c r="AF398" s="40">
        <f>(U398+W398+Z398+AB398+AD398+AA398+VLOOKUP(C398,[1]apoio_Prec_Folha!$A:$S,7,FALSE))*AE398</f>
        <v>559.6031636237982</v>
      </c>
      <c r="AG398" s="40">
        <f t="shared" si="200"/>
        <v>7966.05</v>
      </c>
      <c r="AH398" s="43">
        <f t="shared" si="201"/>
        <v>9130.1200000000008</v>
      </c>
      <c r="AI398" s="43">
        <f t="shared" si="202"/>
        <v>18260.240000000002</v>
      </c>
      <c r="AJ398" s="43">
        <f t="shared" si="203"/>
        <v>1095614.4000000001</v>
      </c>
      <c r="AK398" s="44">
        <f>VLOOKUP(D398,[1]apoio_Preços_MGS!$A$6:$AN$238,39,FALSE)</f>
        <v>200.00000000000003</v>
      </c>
      <c r="AL398" s="44">
        <f>IF(J398="demais municípios",VLOOKUP(D398,[1]apoio_Preços_MGS!$A$6:$AN$238,39,FALSE),0)</f>
        <v>200.00000000000003</v>
      </c>
      <c r="AM398" s="44">
        <v>0</v>
      </c>
      <c r="AN398" s="45">
        <f t="shared" si="224"/>
        <v>400.00000000000006</v>
      </c>
      <c r="AO398" s="44">
        <f>VLOOKUP(D398,[1]apoio_Preços_MGS!$A$6:$AN$238,40,FALSE)</f>
        <v>587.88</v>
      </c>
      <c r="AP398" s="44">
        <f>IF(J398="demais municípios",VLOOKUP(D398,[1]apoio_Preços_MGS!$A$6:$AN$238,40,FALSE),0)</f>
        <v>587.88</v>
      </c>
      <c r="AQ398" s="44">
        <v>0</v>
      </c>
      <c r="AR398" s="45">
        <f t="shared" si="225"/>
        <v>1175.76</v>
      </c>
      <c r="AS398" s="45">
        <f t="shared" si="220"/>
        <v>1575.76</v>
      </c>
      <c r="AT398" s="45">
        <f t="shared" si="221"/>
        <v>94545.600000000006</v>
      </c>
      <c r="AU398" s="62"/>
      <c r="AV398" s="46"/>
      <c r="AW398" s="47"/>
      <c r="AX398" s="48"/>
      <c r="AY398" s="49"/>
      <c r="BA398" s="48"/>
    </row>
    <row r="399" spans="1:53" ht="19.5" customHeight="1" x14ac:dyDescent="0.25">
      <c r="A399" s="33" t="str">
        <f t="shared" si="216"/>
        <v>63410440,04</v>
      </c>
      <c r="B399" s="33" t="str">
        <f t="shared" si="217"/>
        <v>1080,04</v>
      </c>
      <c r="C399" s="34" t="str">
        <f>VLOOKUP(D399,[1]apoio_Preços_MGS!$A$6:$B$238,2,FALSE)</f>
        <v>MOTORISTA DE ÔNIBUS</v>
      </c>
      <c r="D399" s="35">
        <v>108</v>
      </c>
      <c r="E399" s="33" t="str">
        <f>VLOOKUP(D399,[1]apoio_Preços_MGS!$A$6:$F$238,6,FALSE)</f>
        <v>MOTORISTA DE ÔNIBUS - DIARISTA DIURNO - 44H</v>
      </c>
      <c r="F399" s="36">
        <f>IFERROR(VLOOKUP(D399,'[1]apoio_cód catmas'!$B$2:$C$863,2,FALSE),0)</f>
        <v>63410</v>
      </c>
      <c r="G399" s="33" t="str">
        <f>IF(H399="N/A",VLOOKUP(F399&amp;40,'[1]apoio_cód catmas'!$A$1:$G$233,4,FALSE),VLOOKUP(F399&amp;H399,'[1]apoio_cód catmas'!$A$1:$G$233,4,FALSE))</f>
        <v>MOTORISTA DE ONIBUS - 44H</v>
      </c>
      <c r="H399" s="36">
        <v>44</v>
      </c>
      <c r="I399" s="37">
        <v>0.04</v>
      </c>
      <c r="J399" s="38" t="s">
        <v>46</v>
      </c>
      <c r="K399" s="39">
        <v>7</v>
      </c>
      <c r="L399" s="39">
        <f t="shared" si="196"/>
        <v>420</v>
      </c>
      <c r="M399" s="40">
        <f>VLOOKUP(D399,[1]apoio_Preços_MGS!$A$6:$AN$238,18,FALSE)</f>
        <v>3873.8434954225377</v>
      </c>
      <c r="N399" s="40">
        <f>VLOOKUP(D399,[1]apoio_Preços_MGS!$A$6:$AN$238,19,FALSE)</f>
        <v>0</v>
      </c>
      <c r="O399" s="40">
        <f>VLOOKUP(D399,[1]apoio_Preços_MGS!$A$6:$AN$238,20,FALSE)</f>
        <v>0</v>
      </c>
      <c r="P399" s="40">
        <f>VLOOKUP(D399,[1]apoio_Preços_MGS!$A$6:$AN$238,21,FALSE)</f>
        <v>0</v>
      </c>
      <c r="Q399" s="40">
        <f>VLOOKUP(D399,[1]apoio_Preços_MGS!$A$6:$AN$238,22,FALSE)</f>
        <v>0</v>
      </c>
      <c r="R399" s="40">
        <f>VLOOKUP(D399,[1]apoio_Preços_MGS!$A$6:$AN$238,23,FALSE)</f>
        <v>0</v>
      </c>
      <c r="S399" s="40">
        <f>VLOOKUP(D399,[1]apoio_Preços_MGS!$A$6:$AN$238,24,FALSE)</f>
        <v>0</v>
      </c>
      <c r="T399" s="40">
        <f>VLOOKUP(D399,[1]apoio_Preços_MGS!$A$6:$AN$238,25,FALSE)</f>
        <v>0</v>
      </c>
      <c r="U399" s="40">
        <f t="shared" si="214"/>
        <v>3873.8434954225377</v>
      </c>
      <c r="V399" s="41">
        <f>VLOOKUP(D399,[1]apoio_Preços_MGS!$A$6:$AN$238,27,FALSE)</f>
        <v>0.81799999999999995</v>
      </c>
      <c r="W399" s="40">
        <f t="shared" si="215"/>
        <v>3168.8039792556356</v>
      </c>
      <c r="X399" s="40">
        <f>VLOOKUP(D399,[1]apoio_Preços_MGS!$A$6:$AN$238,29,FALSE)</f>
        <v>44.339166666666664</v>
      </c>
      <c r="Y399" s="40">
        <f>VLOOKUP(D399,[1]apoio_Preços_MGS!$A$6:$AN$238,30,FALSE)</f>
        <v>2.8909090909090907</v>
      </c>
      <c r="Z399" s="40">
        <f t="shared" si="199"/>
        <v>47.230075757575754</v>
      </c>
      <c r="AA399" s="40">
        <f>VLOOKUP(D399,[1]apoio_Preços_MGS!$A$6:$AN$238,32,FALSE)</f>
        <v>7.4377795112112715</v>
      </c>
      <c r="AB399" s="40">
        <f>VLOOKUP(D399,[1]apoio_Preços_MGS!$A$6:$AN$238,33,FALSE)</f>
        <v>59.014225352112668</v>
      </c>
      <c r="AC399" s="41">
        <f>VLOOKUP(D399,[1]apoio_Preços_MGS!$A$6:$AN$238,34,FALSE)</f>
        <v>3.2297816973852804E-2</v>
      </c>
      <c r="AD399" s="40">
        <f>(U399+W399+Z399+AB399+AA399+VLOOKUP(C399,[1]apoio_Prec_Folha!$A:$S,7,FALSE))*AC399</f>
        <v>250.12107192218809</v>
      </c>
      <c r="AE399" s="42">
        <f>VLOOKUP(D399,[1]apoio_Preços_MGS!$A$6:$AN$238,36,FALSE)</f>
        <v>7.0000000000000007E-2</v>
      </c>
      <c r="AF399" s="40">
        <f>(U399+W399+Z399+AB399+AD399+AA399+VLOOKUP(C399,[1]apoio_Prec_Folha!$A:$S,7,FALSE))*AE399</f>
        <v>559.6031636237982</v>
      </c>
      <c r="AG399" s="40">
        <f t="shared" si="200"/>
        <v>7966.05</v>
      </c>
      <c r="AH399" s="43">
        <f t="shared" si="201"/>
        <v>9182.7800000000007</v>
      </c>
      <c r="AI399" s="43">
        <f t="shared" si="202"/>
        <v>64279.460000000006</v>
      </c>
      <c r="AJ399" s="43">
        <f t="shared" si="203"/>
        <v>3856767.6</v>
      </c>
      <c r="AK399" s="44">
        <f>VLOOKUP(D399,[1]apoio_Preços_MGS!$A$6:$AN$238,39,FALSE)</f>
        <v>200.00000000000003</v>
      </c>
      <c r="AL399" s="44">
        <f>IF(J399="demais municípios",VLOOKUP(D399,[1]apoio_Preços_MGS!$A$6:$AN$238,39,FALSE),0)</f>
        <v>200.00000000000003</v>
      </c>
      <c r="AM399" s="44">
        <v>0</v>
      </c>
      <c r="AN399" s="45">
        <f t="shared" si="224"/>
        <v>1400.0000000000002</v>
      </c>
      <c r="AO399" s="44">
        <f>VLOOKUP(D399,[1]apoio_Preços_MGS!$A$6:$AN$238,40,FALSE)</f>
        <v>587.88</v>
      </c>
      <c r="AP399" s="44">
        <f>IF(J399="demais municípios",VLOOKUP(D399,[1]apoio_Preços_MGS!$A$6:$AN$238,40,FALSE),0)</f>
        <v>587.88</v>
      </c>
      <c r="AQ399" s="44">
        <v>0</v>
      </c>
      <c r="AR399" s="45">
        <f t="shared" si="225"/>
        <v>4115.16</v>
      </c>
      <c r="AS399" s="45">
        <f t="shared" si="220"/>
        <v>5515.16</v>
      </c>
      <c r="AT399" s="45">
        <f t="shared" si="221"/>
        <v>330909.59999999998</v>
      </c>
      <c r="AU399" s="62"/>
      <c r="AV399" s="46"/>
      <c r="AW399" s="47"/>
      <c r="AX399" s="48"/>
      <c r="AY399" s="49"/>
      <c r="BA399" s="48"/>
    </row>
    <row r="400" spans="1:53" ht="19.5" customHeight="1" x14ac:dyDescent="0.25">
      <c r="A400" s="33" t="str">
        <f t="shared" si="216"/>
        <v>63410440,05</v>
      </c>
      <c r="B400" s="33" t="str">
        <f t="shared" si="217"/>
        <v>1080,05</v>
      </c>
      <c r="C400" s="34" t="str">
        <f>VLOOKUP(D400,[1]apoio_Preços_MGS!$A$6:$B$238,2,FALSE)</f>
        <v>MOTORISTA DE ÔNIBUS</v>
      </c>
      <c r="D400" s="35">
        <v>108</v>
      </c>
      <c r="E400" s="33" t="str">
        <f>VLOOKUP(D400,[1]apoio_Preços_MGS!$A$6:$F$238,6,FALSE)</f>
        <v>MOTORISTA DE ÔNIBUS - DIARISTA DIURNO - 44H</v>
      </c>
      <c r="F400" s="36">
        <f>IFERROR(VLOOKUP(D400,'[1]apoio_cód catmas'!$B$2:$C$863,2,FALSE),0)</f>
        <v>63410</v>
      </c>
      <c r="G400" s="33" t="str">
        <f>IF(H400="N/A",VLOOKUP(F400&amp;40,'[1]apoio_cód catmas'!$A$1:$G$233,4,FALSE),VLOOKUP(F400&amp;H400,'[1]apoio_cód catmas'!$A$1:$G$233,4,FALSE))</f>
        <v>MOTORISTA DE ONIBUS - 44H</v>
      </c>
      <c r="H400" s="36">
        <v>44</v>
      </c>
      <c r="I400" s="37">
        <v>0.05</v>
      </c>
      <c r="J400" s="38" t="s">
        <v>46</v>
      </c>
      <c r="K400" s="39">
        <f>55-K401</f>
        <v>5</v>
      </c>
      <c r="L400" s="39">
        <f t="shared" si="196"/>
        <v>300</v>
      </c>
      <c r="M400" s="40">
        <f>VLOOKUP(D400,[1]apoio_Preços_MGS!$A$6:$AN$238,18,FALSE)</f>
        <v>3873.8434954225377</v>
      </c>
      <c r="N400" s="40">
        <f>VLOOKUP(D400,[1]apoio_Preços_MGS!$A$6:$AN$238,19,FALSE)</f>
        <v>0</v>
      </c>
      <c r="O400" s="40">
        <f>VLOOKUP(D400,[1]apoio_Preços_MGS!$A$6:$AN$238,20,FALSE)</f>
        <v>0</v>
      </c>
      <c r="P400" s="40">
        <f>VLOOKUP(D400,[1]apoio_Preços_MGS!$A$6:$AN$238,21,FALSE)</f>
        <v>0</v>
      </c>
      <c r="Q400" s="40">
        <f>VLOOKUP(D400,[1]apoio_Preços_MGS!$A$6:$AN$238,22,FALSE)</f>
        <v>0</v>
      </c>
      <c r="R400" s="40">
        <f>VLOOKUP(D400,[1]apoio_Preços_MGS!$A$6:$AN$238,23,FALSE)</f>
        <v>0</v>
      </c>
      <c r="S400" s="40">
        <f>VLOOKUP(D400,[1]apoio_Preços_MGS!$A$6:$AN$238,24,FALSE)</f>
        <v>0</v>
      </c>
      <c r="T400" s="40">
        <f>VLOOKUP(D400,[1]apoio_Preços_MGS!$A$6:$AN$238,25,FALSE)</f>
        <v>0</v>
      </c>
      <c r="U400" s="40">
        <f t="shared" si="214"/>
        <v>3873.8434954225377</v>
      </c>
      <c r="V400" s="41">
        <f>VLOOKUP(D400,[1]apoio_Preços_MGS!$A$6:$AN$238,27,FALSE)</f>
        <v>0.81799999999999995</v>
      </c>
      <c r="W400" s="40">
        <f t="shared" si="215"/>
        <v>3168.8039792556356</v>
      </c>
      <c r="X400" s="40">
        <f>VLOOKUP(D400,[1]apoio_Preços_MGS!$A$6:$AN$238,29,FALSE)</f>
        <v>44.339166666666664</v>
      </c>
      <c r="Y400" s="40">
        <f>VLOOKUP(D400,[1]apoio_Preços_MGS!$A$6:$AN$238,30,FALSE)</f>
        <v>2.8909090909090907</v>
      </c>
      <c r="Z400" s="40">
        <f t="shared" si="199"/>
        <v>47.230075757575754</v>
      </c>
      <c r="AA400" s="40">
        <f>VLOOKUP(D400,[1]apoio_Preços_MGS!$A$6:$AN$238,32,FALSE)</f>
        <v>7.4377795112112715</v>
      </c>
      <c r="AB400" s="40">
        <f>VLOOKUP(D400,[1]apoio_Preços_MGS!$A$6:$AN$238,33,FALSE)</f>
        <v>59.014225352112668</v>
      </c>
      <c r="AC400" s="41">
        <f>VLOOKUP(D400,[1]apoio_Preços_MGS!$A$6:$AN$238,34,FALSE)</f>
        <v>3.2297816973852804E-2</v>
      </c>
      <c r="AD400" s="40">
        <f>(U400+W400+Z400+AB400+AA400+VLOOKUP(C400,[1]apoio_Prec_Folha!$A:$S,7,FALSE))*AC400</f>
        <v>250.12107192218809</v>
      </c>
      <c r="AE400" s="42">
        <f>VLOOKUP(D400,[1]apoio_Preços_MGS!$A$6:$AN$238,36,FALSE)</f>
        <v>7.0000000000000007E-2</v>
      </c>
      <c r="AF400" s="40">
        <f>(U400+W400+Z400+AB400+AD400+AA400+VLOOKUP(C400,[1]apoio_Prec_Folha!$A:$S,7,FALSE))*AE400</f>
        <v>559.6031636237982</v>
      </c>
      <c r="AG400" s="40">
        <f t="shared" si="200"/>
        <v>7966.05</v>
      </c>
      <c r="AH400" s="43">
        <f t="shared" si="201"/>
        <v>9289.84</v>
      </c>
      <c r="AI400" s="43">
        <f t="shared" si="202"/>
        <v>46449.2</v>
      </c>
      <c r="AJ400" s="43">
        <f t="shared" si="203"/>
        <v>2786952</v>
      </c>
      <c r="AK400" s="44">
        <f>VLOOKUP(D400,[1]apoio_Preços_MGS!$A$6:$AN$238,39,FALSE)</f>
        <v>200.00000000000003</v>
      </c>
      <c r="AL400" s="44">
        <f>IF(J400="demais municípios",VLOOKUP(D400,[1]apoio_Preços_MGS!$A$6:$AN$238,39,FALSE),0)</f>
        <v>200.00000000000003</v>
      </c>
      <c r="AM400" s="44">
        <v>0</v>
      </c>
      <c r="AN400" s="45">
        <f t="shared" si="224"/>
        <v>1000.0000000000001</v>
      </c>
      <c r="AO400" s="44">
        <f>VLOOKUP(D400,[1]apoio_Preços_MGS!$A$6:$AN$238,40,FALSE)</f>
        <v>587.88</v>
      </c>
      <c r="AP400" s="44">
        <f>IF(J400="demais municípios",VLOOKUP(D400,[1]apoio_Preços_MGS!$A$6:$AN$238,40,FALSE),0)</f>
        <v>587.88</v>
      </c>
      <c r="AQ400" s="44">
        <v>0</v>
      </c>
      <c r="AR400" s="45">
        <f t="shared" si="225"/>
        <v>2939.4</v>
      </c>
      <c r="AS400" s="45">
        <f t="shared" si="220"/>
        <v>3939.4</v>
      </c>
      <c r="AT400" s="45">
        <f t="shared" si="221"/>
        <v>236364</v>
      </c>
      <c r="AU400" s="62"/>
      <c r="AV400" s="46"/>
      <c r="AW400" s="47"/>
      <c r="AX400" s="48"/>
      <c r="AY400" s="49"/>
      <c r="BA400" s="48"/>
    </row>
    <row r="401" spans="1:53" ht="19.5" customHeight="1" x14ac:dyDescent="0.25">
      <c r="A401" s="33" t="str">
        <f t="shared" si="216"/>
        <v>63410440,05</v>
      </c>
      <c r="B401" s="33" t="str">
        <f t="shared" si="217"/>
        <v>1080,05</v>
      </c>
      <c r="C401" s="34" t="str">
        <f>VLOOKUP(D401,[1]apoio_Preços_MGS!$A$6:$B$238,2,FALSE)</f>
        <v>MOTORISTA DE ÔNIBUS</v>
      </c>
      <c r="D401" s="35">
        <v>108</v>
      </c>
      <c r="E401" s="33" t="str">
        <f>VLOOKUP(D401,[1]apoio_Preços_MGS!$A$6:$F$238,6,FALSE)</f>
        <v>MOTORISTA DE ÔNIBUS - DIARISTA DIURNO - 44H</v>
      </c>
      <c r="F401" s="36">
        <f>IFERROR(VLOOKUP(D401,'[1]apoio_cód catmas'!$B$2:$C$863,2,FALSE),0)</f>
        <v>63410</v>
      </c>
      <c r="G401" s="33" t="str">
        <f>IF(H401="N/A",VLOOKUP(F401&amp;40,'[1]apoio_cód catmas'!$A$1:$G$233,4,FALSE),VLOOKUP(F401&amp;H401,'[1]apoio_cód catmas'!$A$1:$G$233,4,FALSE))</f>
        <v>MOTORISTA DE ONIBUS - 44H</v>
      </c>
      <c r="H401" s="36">
        <v>44</v>
      </c>
      <c r="I401" s="37">
        <v>0.05</v>
      </c>
      <c r="J401" s="38" t="s">
        <v>47</v>
      </c>
      <c r="K401" s="39">
        <v>50</v>
      </c>
      <c r="L401" s="39">
        <f t="shared" si="196"/>
        <v>3000</v>
      </c>
      <c r="M401" s="40">
        <f>VLOOKUP(D401,[1]apoio_Preços_MGS!$A$6:$AN$238,18,FALSE)</f>
        <v>3873.8434954225377</v>
      </c>
      <c r="N401" s="40">
        <f>VLOOKUP(D401,[1]apoio_Preços_MGS!$A$6:$AN$238,19,FALSE)</f>
        <v>0</v>
      </c>
      <c r="O401" s="40">
        <f>VLOOKUP(D401,[1]apoio_Preços_MGS!$A$6:$AN$238,20,FALSE)</f>
        <v>0</v>
      </c>
      <c r="P401" s="40">
        <f>VLOOKUP(D401,[1]apoio_Preços_MGS!$A$6:$AN$238,21,FALSE)</f>
        <v>0</v>
      </c>
      <c r="Q401" s="40">
        <f>VLOOKUP(D401,[1]apoio_Preços_MGS!$A$6:$AN$238,22,FALSE)</f>
        <v>0</v>
      </c>
      <c r="R401" s="40">
        <f>VLOOKUP(D401,[1]apoio_Preços_MGS!$A$6:$AN$238,23,FALSE)</f>
        <v>0</v>
      </c>
      <c r="S401" s="40">
        <f>VLOOKUP(D401,[1]apoio_Preços_MGS!$A$6:$AN$238,24,FALSE)</f>
        <v>0</v>
      </c>
      <c r="T401" s="40">
        <f>VLOOKUP(D401,[1]apoio_Preços_MGS!$A$6:$AN$238,25,FALSE)</f>
        <v>0</v>
      </c>
      <c r="U401" s="40">
        <f t="shared" si="214"/>
        <v>3873.8434954225377</v>
      </c>
      <c r="V401" s="41">
        <f>VLOOKUP(D401,[1]apoio_Preços_MGS!$A$6:$AN$238,27,FALSE)</f>
        <v>0.81799999999999995</v>
      </c>
      <c r="W401" s="40">
        <f t="shared" si="215"/>
        <v>3168.8039792556356</v>
      </c>
      <c r="X401" s="40">
        <f>VLOOKUP(D401,[1]apoio_Preços_MGS!$A$6:$AN$238,29,FALSE)</f>
        <v>44.339166666666664</v>
      </c>
      <c r="Y401" s="40">
        <f>VLOOKUP(D401,[1]apoio_Preços_MGS!$A$6:$AN$238,30,FALSE)</f>
        <v>2.8909090909090907</v>
      </c>
      <c r="Z401" s="40">
        <f t="shared" si="199"/>
        <v>47.230075757575754</v>
      </c>
      <c r="AA401" s="40">
        <f>VLOOKUP(D401,[1]apoio_Preços_MGS!$A$6:$AN$238,32,FALSE)</f>
        <v>7.4377795112112715</v>
      </c>
      <c r="AB401" s="40">
        <f>VLOOKUP(D401,[1]apoio_Preços_MGS!$A$6:$AN$238,33,FALSE)</f>
        <v>59.014225352112668</v>
      </c>
      <c r="AC401" s="41">
        <f>VLOOKUP(D401,[1]apoio_Preços_MGS!$A$6:$AN$238,34,FALSE)</f>
        <v>3.2297816973852804E-2</v>
      </c>
      <c r="AD401" s="40">
        <f>(U401+W401+Z401+AB401+AA401+VLOOKUP(C401,[1]apoio_Prec_Folha!$A:$S,7,FALSE))*AC401</f>
        <v>250.12107192218809</v>
      </c>
      <c r="AE401" s="42">
        <f>VLOOKUP(D401,[1]apoio_Preços_MGS!$A$6:$AN$238,36,FALSE)</f>
        <v>7.0000000000000007E-2</v>
      </c>
      <c r="AF401" s="40">
        <f>(U401+W401+Z401+AB401+AD401+AA401+VLOOKUP(C401,[1]apoio_Prec_Folha!$A:$S,7,FALSE))*AE401</f>
        <v>559.6031636237982</v>
      </c>
      <c r="AG401" s="40">
        <f t="shared" si="200"/>
        <v>7966.05</v>
      </c>
      <c r="AH401" s="43">
        <f t="shared" si="201"/>
        <v>9289.84</v>
      </c>
      <c r="AI401" s="43">
        <f t="shared" si="202"/>
        <v>464492</v>
      </c>
      <c r="AJ401" s="43">
        <f t="shared" si="203"/>
        <v>27869520</v>
      </c>
      <c r="AK401" s="44">
        <f>VLOOKUP(D401,[1]apoio_Preços_MGS!$A$6:$AN$238,39,FALSE)</f>
        <v>200.00000000000003</v>
      </c>
      <c r="AL401" s="44">
        <f>IF(J401="demais municípios",VLOOKUP(D401,[1]apoio_Preços_MGS!$A$6:$AN$238,39,FALSE),0)</f>
        <v>0</v>
      </c>
      <c r="AM401" s="44">
        <v>0</v>
      </c>
      <c r="AN401" s="45">
        <f t="shared" si="222"/>
        <v>0</v>
      </c>
      <c r="AO401" s="44">
        <f>VLOOKUP(D401,[1]apoio_Preços_MGS!$A$6:$AN$238,40,FALSE)</f>
        <v>587.88</v>
      </c>
      <c r="AP401" s="44">
        <f>IF(J401="demais municípios",VLOOKUP(D401,[1]apoio_Preços_MGS!$A$6:$AN$238,40,FALSE),0)</f>
        <v>0</v>
      </c>
      <c r="AQ401" s="44">
        <f>TRUNC(ROUND(($I401)/(1-($I401)),5)*VLOOKUP(D401,[1]apoio_Preços_MGS!$A$6:$AN$238,40,FALSE)+VLOOKUP(D401,[1]apoio_Preços_MGS!$A$6:$AN$238,40,FALSE),2)</f>
        <v>618.82000000000005</v>
      </c>
      <c r="AR401" s="45">
        <f t="shared" si="223"/>
        <v>30941.000000000004</v>
      </c>
      <c r="AS401" s="45">
        <f t="shared" si="220"/>
        <v>30941.000000000004</v>
      </c>
      <c r="AT401" s="45">
        <f t="shared" si="221"/>
        <v>1856460.0000000002</v>
      </c>
      <c r="AU401" s="62"/>
      <c r="AV401" s="46"/>
      <c r="AW401" s="47"/>
      <c r="AX401" s="48"/>
      <c r="AY401" s="49"/>
      <c r="BA401" s="48"/>
    </row>
    <row r="402" spans="1:53" ht="19.5" customHeight="1" x14ac:dyDescent="0.25">
      <c r="A402" s="33" t="str">
        <f t="shared" si="216"/>
        <v>100439440,02</v>
      </c>
      <c r="B402" s="33" t="str">
        <f t="shared" si="217"/>
        <v>11760,02</v>
      </c>
      <c r="C402" s="34" t="str">
        <f>VLOOKUP(D402,[1]apoio_Preços_MGS!$A$6:$B$238,2,FALSE)</f>
        <v>MOTORISTA DE ÔNIBUS</v>
      </c>
      <c r="D402" s="35">
        <v>1176</v>
      </c>
      <c r="E402" s="33" t="str">
        <f>VLOOKUP(D402,[1]apoio_Preços_MGS!$A$6:$F$238,6,FALSE)</f>
        <v>MOTORISTA DE ÔNIBUS - (PERIC.) - DIARISTA DIURNO - 44H</v>
      </c>
      <c r="F402" s="36">
        <f>IFERROR(VLOOKUP(D402,'[1]apoio_cód catmas'!$B$2:$C$863,2,FALSE),0)</f>
        <v>100439</v>
      </c>
      <c r="G402" s="33" t="str">
        <f>IF(H402="N/A",VLOOKUP(F402&amp;40,'[1]apoio_cód catmas'!$A$1:$G$233,4,FALSE),VLOOKUP(F402&amp;H402,'[1]apoio_cód catmas'!$A$1:$G$233,4,FALSE))</f>
        <v>MOTORISTA DE ONIBUS (PERICULOSIDADE) - 44H</v>
      </c>
      <c r="H402" s="36">
        <v>44</v>
      </c>
      <c r="I402" s="37">
        <v>0.02</v>
      </c>
      <c r="J402" s="38" t="s">
        <v>46</v>
      </c>
      <c r="K402" s="39">
        <v>1</v>
      </c>
      <c r="L402" s="39">
        <f t="shared" si="196"/>
        <v>60</v>
      </c>
      <c r="M402" s="40">
        <f>VLOOKUP(D402,[1]apoio_Preços_MGS!$A$6:$AN$238,18,FALSE)</f>
        <v>3873.8434954225377</v>
      </c>
      <c r="N402" s="40">
        <f>VLOOKUP(D402,[1]apoio_Preços_MGS!$A$6:$AN$238,19,FALSE)</f>
        <v>1162.1530486267613</v>
      </c>
      <c r="O402" s="40">
        <f>VLOOKUP(D402,[1]apoio_Preços_MGS!$A$6:$AN$238,20,FALSE)</f>
        <v>0</v>
      </c>
      <c r="P402" s="40">
        <f>VLOOKUP(D402,[1]apoio_Preços_MGS!$A$6:$AN$238,21,FALSE)</f>
        <v>0</v>
      </c>
      <c r="Q402" s="40">
        <f>VLOOKUP(D402,[1]apoio_Preços_MGS!$A$6:$AN$238,22,FALSE)</f>
        <v>0</v>
      </c>
      <c r="R402" s="40">
        <f>VLOOKUP(D402,[1]apoio_Preços_MGS!$A$6:$AN$238,23,FALSE)</f>
        <v>0</v>
      </c>
      <c r="S402" s="40">
        <f>VLOOKUP(D402,[1]apoio_Preços_MGS!$A$6:$AN$238,24,FALSE)</f>
        <v>0</v>
      </c>
      <c r="T402" s="40">
        <f>VLOOKUP(D402,[1]apoio_Preços_MGS!$A$6:$AN$238,25,FALSE)</f>
        <v>0</v>
      </c>
      <c r="U402" s="40">
        <f t="shared" si="214"/>
        <v>5035.9965440492988</v>
      </c>
      <c r="V402" s="41">
        <f>VLOOKUP(D402,[1]apoio_Preços_MGS!$A$6:$AN$238,27,FALSE)</f>
        <v>0.81799999999999995</v>
      </c>
      <c r="W402" s="40">
        <f t="shared" si="215"/>
        <v>4119.4451730323262</v>
      </c>
      <c r="X402" s="40">
        <f>VLOOKUP(D402,[1]apoio_Preços_MGS!$A$6:$AN$238,29,FALSE)</f>
        <v>44.339166666666664</v>
      </c>
      <c r="Y402" s="40">
        <f>VLOOKUP(D402,[1]apoio_Preços_MGS!$A$6:$AN$238,30,FALSE)</f>
        <v>2.8909090909090907</v>
      </c>
      <c r="Z402" s="40">
        <f t="shared" si="199"/>
        <v>47.230075757575754</v>
      </c>
      <c r="AA402" s="40">
        <f>VLOOKUP(D402,[1]apoio_Preços_MGS!$A$6:$AN$238,32,FALSE)</f>
        <v>7.4377795112112715</v>
      </c>
      <c r="AB402" s="40">
        <f>VLOOKUP(D402,[1]apoio_Preços_MGS!$A$6:$AN$238,33,FALSE)</f>
        <v>59.014225352112668</v>
      </c>
      <c r="AC402" s="41">
        <f>VLOOKUP(D402,[1]apoio_Preços_MGS!$A$6:$AN$238,34,FALSE)</f>
        <v>3.2297816973852804E-2</v>
      </c>
      <c r="AD402" s="40">
        <f>(U402+W402+Z402+AB402+AA402+VLOOKUP(C402,[1]apoio_Prec_Folha!$A:$S,7,FALSE))*AC402</f>
        <v>318.35971366674477</v>
      </c>
      <c r="AE402" s="42">
        <f>VLOOKUP(D402,[1]apoio_Preços_MGS!$A$6:$AN$238,36,FALSE)</f>
        <v>7.0000000000000007E-2</v>
      </c>
      <c r="AF402" s="40">
        <f>(U402+W402+Z402+AB402+AD402+AA402+VLOOKUP(C402,[1]apoio_Prec_Folha!$A:$S,7,FALSE))*AE402</f>
        <v>712.27546551415878</v>
      </c>
      <c r="AG402" s="40">
        <f t="shared" si="200"/>
        <v>10299.75</v>
      </c>
      <c r="AH402" s="43">
        <f t="shared" si="201"/>
        <v>11605.34</v>
      </c>
      <c r="AI402" s="43">
        <f t="shared" si="202"/>
        <v>11605.34</v>
      </c>
      <c r="AJ402" s="43">
        <f t="shared" si="203"/>
        <v>696320.4</v>
      </c>
      <c r="AK402" s="44">
        <f>VLOOKUP(D402,[1]apoio_Preços_MGS!$A$6:$AN$238,39,FALSE)</f>
        <v>200.00000000000003</v>
      </c>
      <c r="AL402" s="44">
        <f>IF(J402="demais municípios",VLOOKUP(D402,[1]apoio_Preços_MGS!$A$6:$AN$238,39,FALSE),0)</f>
        <v>200.00000000000003</v>
      </c>
      <c r="AM402" s="44">
        <v>0</v>
      </c>
      <c r="AN402" s="45">
        <f t="shared" ref="AN402:AN403" si="226">AK402*K402</f>
        <v>200.00000000000003</v>
      </c>
      <c r="AO402" s="44">
        <f>VLOOKUP(D402,[1]apoio_Preços_MGS!$A$6:$AN$238,40,FALSE)</f>
        <v>587.88</v>
      </c>
      <c r="AP402" s="44">
        <f>IF(J402="demais municípios",VLOOKUP(D402,[1]apoio_Preços_MGS!$A$6:$AN$238,40,FALSE),0)</f>
        <v>587.88</v>
      </c>
      <c r="AQ402" s="44">
        <v>0</v>
      </c>
      <c r="AR402" s="45">
        <f t="shared" ref="AR402:AR403" si="227">AO402*K402</f>
        <v>587.88</v>
      </c>
      <c r="AS402" s="45">
        <f t="shared" si="220"/>
        <v>787.88</v>
      </c>
      <c r="AT402" s="45">
        <f t="shared" si="221"/>
        <v>47272.800000000003</v>
      </c>
      <c r="AU402" s="62"/>
      <c r="AV402" s="46"/>
      <c r="AW402" s="47"/>
      <c r="AX402" s="48"/>
      <c r="AY402" s="49"/>
      <c r="BA402" s="48"/>
    </row>
    <row r="403" spans="1:53" ht="19.5" customHeight="1" x14ac:dyDescent="0.25">
      <c r="A403" s="33" t="str">
        <f t="shared" si="216"/>
        <v>100439440,05</v>
      </c>
      <c r="B403" s="33" t="str">
        <f t="shared" si="217"/>
        <v>11760,05</v>
      </c>
      <c r="C403" s="34" t="str">
        <f>VLOOKUP(D403,[1]apoio_Preços_MGS!$A$6:$B$238,2,FALSE)</f>
        <v>MOTORISTA DE ÔNIBUS</v>
      </c>
      <c r="D403" s="35">
        <v>1176</v>
      </c>
      <c r="E403" s="33" t="str">
        <f>VLOOKUP(D403,[1]apoio_Preços_MGS!$A$6:$F$238,6,FALSE)</f>
        <v>MOTORISTA DE ÔNIBUS - (PERIC.) - DIARISTA DIURNO - 44H</v>
      </c>
      <c r="F403" s="36">
        <f>IFERROR(VLOOKUP(D403,'[1]apoio_cód catmas'!$B$2:$C$863,2,FALSE),0)</f>
        <v>100439</v>
      </c>
      <c r="G403" s="33" t="str">
        <f>IF(H403="N/A",VLOOKUP(F403&amp;40,'[1]apoio_cód catmas'!$A$1:$G$233,4,FALSE),VLOOKUP(F403&amp;H403,'[1]apoio_cód catmas'!$A$1:$G$233,4,FALSE))</f>
        <v>MOTORISTA DE ONIBUS (PERICULOSIDADE) - 44H</v>
      </c>
      <c r="H403" s="36">
        <v>44</v>
      </c>
      <c r="I403" s="37">
        <v>0.05</v>
      </c>
      <c r="J403" s="38" t="s">
        <v>46</v>
      </c>
      <c r="K403" s="39">
        <f>5-K404</f>
        <v>3</v>
      </c>
      <c r="L403" s="39">
        <f t="shared" si="196"/>
        <v>180</v>
      </c>
      <c r="M403" s="40">
        <f>VLOOKUP(D403,[1]apoio_Preços_MGS!$A$6:$AN$238,18,FALSE)</f>
        <v>3873.8434954225377</v>
      </c>
      <c r="N403" s="40">
        <f>VLOOKUP(D403,[1]apoio_Preços_MGS!$A$6:$AN$238,19,FALSE)</f>
        <v>1162.1530486267613</v>
      </c>
      <c r="O403" s="40">
        <f>VLOOKUP(D403,[1]apoio_Preços_MGS!$A$6:$AN$238,20,FALSE)</f>
        <v>0</v>
      </c>
      <c r="P403" s="40">
        <f>VLOOKUP(D403,[1]apoio_Preços_MGS!$A$6:$AN$238,21,FALSE)</f>
        <v>0</v>
      </c>
      <c r="Q403" s="40">
        <f>VLOOKUP(D403,[1]apoio_Preços_MGS!$A$6:$AN$238,22,FALSE)</f>
        <v>0</v>
      </c>
      <c r="R403" s="40">
        <f>VLOOKUP(D403,[1]apoio_Preços_MGS!$A$6:$AN$238,23,FALSE)</f>
        <v>0</v>
      </c>
      <c r="S403" s="40">
        <f>VLOOKUP(D403,[1]apoio_Preços_MGS!$A$6:$AN$238,24,FALSE)</f>
        <v>0</v>
      </c>
      <c r="T403" s="40">
        <f>VLOOKUP(D403,[1]apoio_Preços_MGS!$A$6:$AN$238,25,FALSE)</f>
        <v>0</v>
      </c>
      <c r="U403" s="40">
        <f t="shared" si="214"/>
        <v>5035.9965440492988</v>
      </c>
      <c r="V403" s="41">
        <f>VLOOKUP(D403,[1]apoio_Preços_MGS!$A$6:$AN$238,27,FALSE)</f>
        <v>0.81799999999999995</v>
      </c>
      <c r="W403" s="40">
        <f t="shared" si="215"/>
        <v>4119.4451730323262</v>
      </c>
      <c r="X403" s="40">
        <f>VLOOKUP(D403,[1]apoio_Preços_MGS!$A$6:$AN$238,29,FALSE)</f>
        <v>44.339166666666664</v>
      </c>
      <c r="Y403" s="40">
        <f>VLOOKUP(D403,[1]apoio_Preços_MGS!$A$6:$AN$238,30,FALSE)</f>
        <v>2.8909090909090907</v>
      </c>
      <c r="Z403" s="40">
        <f t="shared" si="199"/>
        <v>47.230075757575754</v>
      </c>
      <c r="AA403" s="40">
        <f>VLOOKUP(D403,[1]apoio_Preços_MGS!$A$6:$AN$238,32,FALSE)</f>
        <v>7.4377795112112715</v>
      </c>
      <c r="AB403" s="40">
        <f>VLOOKUP(D403,[1]apoio_Preços_MGS!$A$6:$AN$238,33,FALSE)</f>
        <v>59.014225352112668</v>
      </c>
      <c r="AC403" s="41">
        <f>VLOOKUP(D403,[1]apoio_Preços_MGS!$A$6:$AN$238,34,FALSE)</f>
        <v>3.2297816973852804E-2</v>
      </c>
      <c r="AD403" s="40">
        <f>(U403+W403+Z403+AB403+AA403+VLOOKUP(C403,[1]apoio_Prec_Folha!$A:$S,7,FALSE))*AC403</f>
        <v>318.35971366674477</v>
      </c>
      <c r="AE403" s="42">
        <f>VLOOKUP(D403,[1]apoio_Preços_MGS!$A$6:$AN$238,36,FALSE)</f>
        <v>7.0000000000000007E-2</v>
      </c>
      <c r="AF403" s="40">
        <f>(U403+W403+Z403+AB403+AD403+AA403+VLOOKUP(C403,[1]apoio_Prec_Folha!$A:$S,7,FALSE))*AE403</f>
        <v>712.27546551415878</v>
      </c>
      <c r="AG403" s="40">
        <f t="shared" si="200"/>
        <v>10299.75</v>
      </c>
      <c r="AH403" s="43">
        <f t="shared" si="201"/>
        <v>12011.36</v>
      </c>
      <c r="AI403" s="43">
        <f t="shared" si="202"/>
        <v>36034.080000000002</v>
      </c>
      <c r="AJ403" s="43">
        <f t="shared" si="203"/>
        <v>2162044.8000000003</v>
      </c>
      <c r="AK403" s="44">
        <f>VLOOKUP(D403,[1]apoio_Preços_MGS!$A$6:$AN$238,39,FALSE)</f>
        <v>200.00000000000003</v>
      </c>
      <c r="AL403" s="44">
        <f>IF(J403="demais municípios",VLOOKUP(D403,[1]apoio_Preços_MGS!$A$6:$AN$238,39,FALSE),0)</f>
        <v>200.00000000000003</v>
      </c>
      <c r="AM403" s="44">
        <v>0</v>
      </c>
      <c r="AN403" s="45">
        <f t="shared" si="226"/>
        <v>600.00000000000011</v>
      </c>
      <c r="AO403" s="44">
        <f>VLOOKUP(D403,[1]apoio_Preços_MGS!$A$6:$AN$238,40,FALSE)</f>
        <v>587.88</v>
      </c>
      <c r="AP403" s="44">
        <f>IF(J403="demais municípios",VLOOKUP(D403,[1]apoio_Preços_MGS!$A$6:$AN$238,40,FALSE),0)</f>
        <v>587.88</v>
      </c>
      <c r="AQ403" s="44">
        <v>0</v>
      </c>
      <c r="AR403" s="45">
        <f t="shared" si="227"/>
        <v>1763.6399999999999</v>
      </c>
      <c r="AS403" s="45">
        <f t="shared" si="220"/>
        <v>2363.64</v>
      </c>
      <c r="AT403" s="45">
        <f t="shared" si="221"/>
        <v>141818.4</v>
      </c>
      <c r="AU403" s="62"/>
      <c r="AV403" s="46"/>
      <c r="AW403" s="47"/>
      <c r="AX403" s="48"/>
      <c r="AY403" s="49"/>
      <c r="BA403" s="48"/>
    </row>
    <row r="404" spans="1:53" ht="19.5" customHeight="1" x14ac:dyDescent="0.25">
      <c r="A404" s="33" t="str">
        <f t="shared" si="216"/>
        <v>100439440,05</v>
      </c>
      <c r="B404" s="33" t="str">
        <f t="shared" si="217"/>
        <v>11760,05</v>
      </c>
      <c r="C404" s="34" t="str">
        <f>VLOOKUP(D404,[1]apoio_Preços_MGS!$A$6:$B$238,2,FALSE)</f>
        <v>MOTORISTA DE ÔNIBUS</v>
      </c>
      <c r="D404" s="35">
        <v>1176</v>
      </c>
      <c r="E404" s="33" t="str">
        <f>VLOOKUP(D404,[1]apoio_Preços_MGS!$A$6:$F$238,6,FALSE)</f>
        <v>MOTORISTA DE ÔNIBUS - (PERIC.) - DIARISTA DIURNO - 44H</v>
      </c>
      <c r="F404" s="36">
        <f>IFERROR(VLOOKUP(D404,'[1]apoio_cód catmas'!$B$2:$C$863,2,FALSE),0)</f>
        <v>100439</v>
      </c>
      <c r="G404" s="33" t="str">
        <f>IF(H404="N/A",VLOOKUP(F404&amp;40,'[1]apoio_cód catmas'!$A$1:$G$233,4,FALSE),VLOOKUP(F404&amp;H404,'[1]apoio_cód catmas'!$A$1:$G$233,4,FALSE))</f>
        <v>MOTORISTA DE ONIBUS (PERICULOSIDADE) - 44H</v>
      </c>
      <c r="H404" s="36">
        <v>44</v>
      </c>
      <c r="I404" s="37">
        <v>0.05</v>
      </c>
      <c r="J404" s="38" t="s">
        <v>47</v>
      </c>
      <c r="K404" s="39">
        <v>2</v>
      </c>
      <c r="L404" s="39">
        <f t="shared" si="196"/>
        <v>120</v>
      </c>
      <c r="M404" s="40">
        <f>VLOOKUP(D404,[1]apoio_Preços_MGS!$A$6:$AN$238,18,FALSE)</f>
        <v>3873.8434954225377</v>
      </c>
      <c r="N404" s="40">
        <f>VLOOKUP(D404,[1]apoio_Preços_MGS!$A$6:$AN$238,19,FALSE)</f>
        <v>1162.1530486267613</v>
      </c>
      <c r="O404" s="40">
        <f>VLOOKUP(D404,[1]apoio_Preços_MGS!$A$6:$AN$238,20,FALSE)</f>
        <v>0</v>
      </c>
      <c r="P404" s="40">
        <f>VLOOKUP(D404,[1]apoio_Preços_MGS!$A$6:$AN$238,21,FALSE)</f>
        <v>0</v>
      </c>
      <c r="Q404" s="40">
        <f>VLOOKUP(D404,[1]apoio_Preços_MGS!$A$6:$AN$238,22,FALSE)</f>
        <v>0</v>
      </c>
      <c r="R404" s="40">
        <f>VLOOKUP(D404,[1]apoio_Preços_MGS!$A$6:$AN$238,23,FALSE)</f>
        <v>0</v>
      </c>
      <c r="S404" s="40">
        <f>VLOOKUP(D404,[1]apoio_Preços_MGS!$A$6:$AN$238,24,FALSE)</f>
        <v>0</v>
      </c>
      <c r="T404" s="40">
        <f>VLOOKUP(D404,[1]apoio_Preços_MGS!$A$6:$AN$238,25,FALSE)</f>
        <v>0</v>
      </c>
      <c r="U404" s="40">
        <f t="shared" si="214"/>
        <v>5035.9965440492988</v>
      </c>
      <c r="V404" s="41">
        <f>VLOOKUP(D404,[1]apoio_Preços_MGS!$A$6:$AN$238,27,FALSE)</f>
        <v>0.81799999999999995</v>
      </c>
      <c r="W404" s="40">
        <f t="shared" si="215"/>
        <v>4119.4451730323262</v>
      </c>
      <c r="X404" s="40">
        <f>VLOOKUP(D404,[1]apoio_Preços_MGS!$A$6:$AN$238,29,FALSE)</f>
        <v>44.339166666666664</v>
      </c>
      <c r="Y404" s="40">
        <f>VLOOKUP(D404,[1]apoio_Preços_MGS!$A$6:$AN$238,30,FALSE)</f>
        <v>2.8909090909090907</v>
      </c>
      <c r="Z404" s="40">
        <f t="shared" si="199"/>
        <v>47.230075757575754</v>
      </c>
      <c r="AA404" s="40">
        <f>VLOOKUP(D404,[1]apoio_Preços_MGS!$A$6:$AN$238,32,FALSE)</f>
        <v>7.4377795112112715</v>
      </c>
      <c r="AB404" s="40">
        <f>VLOOKUP(D404,[1]apoio_Preços_MGS!$A$6:$AN$238,33,FALSE)</f>
        <v>59.014225352112668</v>
      </c>
      <c r="AC404" s="41">
        <f>VLOOKUP(D404,[1]apoio_Preços_MGS!$A$6:$AN$238,34,FALSE)</f>
        <v>3.2297816973852804E-2</v>
      </c>
      <c r="AD404" s="40">
        <f>(U404+W404+Z404+AB404+AA404+VLOOKUP(C404,[1]apoio_Prec_Folha!$A:$S,7,FALSE))*AC404</f>
        <v>318.35971366674477</v>
      </c>
      <c r="AE404" s="42">
        <f>VLOOKUP(D404,[1]apoio_Preços_MGS!$A$6:$AN$238,36,FALSE)</f>
        <v>7.0000000000000007E-2</v>
      </c>
      <c r="AF404" s="40">
        <f>(U404+W404+Z404+AB404+AD404+AA404+VLOOKUP(C404,[1]apoio_Prec_Folha!$A:$S,7,FALSE))*AE404</f>
        <v>712.27546551415878</v>
      </c>
      <c r="AG404" s="40">
        <f t="shared" si="200"/>
        <v>10299.75</v>
      </c>
      <c r="AH404" s="43">
        <f t="shared" si="201"/>
        <v>12011.36</v>
      </c>
      <c r="AI404" s="43">
        <f t="shared" si="202"/>
        <v>24022.720000000001</v>
      </c>
      <c r="AJ404" s="43">
        <f t="shared" si="203"/>
        <v>1441363.2000000002</v>
      </c>
      <c r="AK404" s="44">
        <f>VLOOKUP(D404,[1]apoio_Preços_MGS!$A$6:$AN$238,39,FALSE)</f>
        <v>200.00000000000003</v>
      </c>
      <c r="AL404" s="44">
        <f>IF(J404="demais municípios",VLOOKUP(D404,[1]apoio_Preços_MGS!$A$6:$AN$238,39,FALSE),0)</f>
        <v>0</v>
      </c>
      <c r="AM404" s="44">
        <v>0</v>
      </c>
      <c r="AN404" s="45">
        <f t="shared" si="222"/>
        <v>0</v>
      </c>
      <c r="AO404" s="44">
        <f>VLOOKUP(D404,[1]apoio_Preços_MGS!$A$6:$AN$238,40,FALSE)</f>
        <v>587.88</v>
      </c>
      <c r="AP404" s="44">
        <f>IF(J404="demais municípios",VLOOKUP(D404,[1]apoio_Preços_MGS!$A$6:$AN$238,40,FALSE),0)</f>
        <v>0</v>
      </c>
      <c r="AQ404" s="44">
        <f>TRUNC(ROUND(($I404)/(1-($I404)),5)*VLOOKUP(D404,[1]apoio_Preços_MGS!$A$6:$AN$238,40,FALSE)+VLOOKUP(D404,[1]apoio_Preços_MGS!$A$6:$AN$238,40,FALSE),2)</f>
        <v>618.82000000000005</v>
      </c>
      <c r="AR404" s="45">
        <f t="shared" si="223"/>
        <v>1237.6400000000001</v>
      </c>
      <c r="AS404" s="45">
        <f t="shared" si="220"/>
        <v>1237.6400000000001</v>
      </c>
      <c r="AT404" s="45">
        <f t="shared" si="221"/>
        <v>74258.400000000009</v>
      </c>
      <c r="AU404" s="62"/>
      <c r="AV404" s="46"/>
      <c r="AW404" s="47"/>
      <c r="AX404" s="48"/>
      <c r="AY404" s="49"/>
      <c r="BA404" s="48"/>
    </row>
    <row r="405" spans="1:53" ht="19.5" customHeight="1" x14ac:dyDescent="0.25">
      <c r="A405" s="33" t="str">
        <f t="shared" si="216"/>
        <v>156809440,05</v>
      </c>
      <c r="B405" s="33" t="str">
        <f t="shared" si="217"/>
        <v>20110,05</v>
      </c>
      <c r="C405" s="34" t="str">
        <f>VLOOKUP(D405,[1]apoio_Preços_MGS!$A$6:$B$238,2,FALSE)</f>
        <v>MOTORISTA DE PASSAGEIROS</v>
      </c>
      <c r="D405" s="35">
        <v>2011</v>
      </c>
      <c r="E405" s="33" t="str">
        <f>VLOOKUP(D405,[1]apoio_Preços_MGS!$A$6:$F$238,6,FALSE)</f>
        <v>MOTORISTA DE PASSAGEIROS - 12x36 DIURNO - 44H</v>
      </c>
      <c r="F405" s="36">
        <f>IFERROR(VLOOKUP(D405,'[1]apoio_cód catmas'!$B$2:$C$863,2,FALSE),0)</f>
        <v>156809</v>
      </c>
      <c r="G405" s="33" t="str">
        <f>IF(H405="N/A",VLOOKUP(F405&amp;40,'[1]apoio_cód catmas'!$A$1:$G$233,4,FALSE),VLOOKUP(F405&amp;H405,'[1]apoio_cód catmas'!$A$1:$G$233,4,FALSE))</f>
        <v>MOTORISTA DE PASSAGEIROS 12X36 DIURNO - 44H</v>
      </c>
      <c r="H405" s="36">
        <v>44</v>
      </c>
      <c r="I405" s="37">
        <v>0.05</v>
      </c>
      <c r="J405" s="38" t="s">
        <v>47</v>
      </c>
      <c r="K405" s="39">
        <v>8</v>
      </c>
      <c r="L405" s="39">
        <f>K405*54</f>
        <v>432</v>
      </c>
      <c r="M405" s="40">
        <f>VLOOKUP(D405,[1]apoio_Preços_MGS!$A$6:$AN$238,18,FALSE)</f>
        <v>3968.2980999999991</v>
      </c>
      <c r="N405" s="40">
        <f>VLOOKUP(D405,[1]apoio_Preços_MGS!$A$6:$AN$238,19,FALSE)</f>
        <v>0</v>
      </c>
      <c r="O405" s="40">
        <f>VLOOKUP(D405,[1]apoio_Preços_MGS!$A$6:$AN$238,20,FALSE)</f>
        <v>0</v>
      </c>
      <c r="P405" s="40">
        <f>VLOOKUP(D405,[1]apoio_Preços_MGS!$A$6:$AN$238,21,FALSE)</f>
        <v>0</v>
      </c>
      <c r="Q405" s="40">
        <f>VLOOKUP(D405,[1]apoio_Preços_MGS!$A$6:$AN$238,22,FALSE)</f>
        <v>0</v>
      </c>
      <c r="R405" s="40">
        <f>VLOOKUP(D405,[1]apoio_Preços_MGS!$A$6:$AN$238,23,FALSE)</f>
        <v>0</v>
      </c>
      <c r="S405" s="40">
        <f>VLOOKUP(D405,[1]apoio_Preços_MGS!$A$6:$AN$238,24,FALSE)</f>
        <v>0</v>
      </c>
      <c r="T405" s="40">
        <f>VLOOKUP(D405,[1]apoio_Preços_MGS!$A$6:$AN$238,25,FALSE)</f>
        <v>5.5115251388888877</v>
      </c>
      <c r="U405" s="40">
        <f t="shared" si="214"/>
        <v>3973.8096251388879</v>
      </c>
      <c r="V405" s="41">
        <f>VLOOKUP(D405,[1]apoio_Preços_MGS!$A$6:$AN$238,27,FALSE)</f>
        <v>0.81799999999999995</v>
      </c>
      <c r="W405" s="40">
        <f t="shared" si="215"/>
        <v>3250.5762733636102</v>
      </c>
      <c r="X405" s="40">
        <f>VLOOKUP(D405,[1]apoio_Preços_MGS!$A$6:$AN$238,29,FALSE)</f>
        <v>59.667499999999997</v>
      </c>
      <c r="Y405" s="40">
        <f>VLOOKUP(D405,[1]apoio_Preços_MGS!$A$6:$AN$238,30,FALSE)</f>
        <v>2.8909090909090907</v>
      </c>
      <c r="Z405" s="40">
        <f t="shared" si="199"/>
        <v>62.558409090909088</v>
      </c>
      <c r="AA405" s="40">
        <f>VLOOKUP(D405,[1]apoio_Preços_MGS!$A$6:$AN$238,32,FALSE)</f>
        <v>7.6191323519999976</v>
      </c>
      <c r="AB405" s="40">
        <f>VLOOKUP(D405,[1]apoio_Preços_MGS!$A$6:$AN$238,33,FALSE)</f>
        <v>63.207849999999993</v>
      </c>
      <c r="AC405" s="41">
        <f>VLOOKUP(D405,[1]apoio_Preços_MGS!$A$6:$AN$238,34,FALSE)</f>
        <v>3.2250421500329765E-2</v>
      </c>
      <c r="AD405" s="40">
        <f>(U405+W405+Z405+AB405+AA405+VLOOKUP(C405,[1]apoio_Prec_Folha!$A:$S,7,FALSE))*AC405</f>
        <v>256.37992738559461</v>
      </c>
      <c r="AE405" s="42">
        <f>VLOOKUP(D405,[1]apoio_Preços_MGS!$A$6:$AN$238,36,FALSE)</f>
        <v>7.0000000000000007E-2</v>
      </c>
      <c r="AF405" s="40">
        <f>(U405+W405+Z405+AB405+AD405+AA405+VLOOKUP(C405,[1]apoio_Prec_Folha!$A:$S,7,FALSE))*AE405</f>
        <v>574.42288521317016</v>
      </c>
      <c r="AG405" s="40">
        <f t="shared" si="200"/>
        <v>8188.57</v>
      </c>
      <c r="AH405" s="43">
        <f t="shared" si="201"/>
        <v>9549.34</v>
      </c>
      <c r="AI405" s="43">
        <f t="shared" si="202"/>
        <v>76394.720000000001</v>
      </c>
      <c r="AJ405" s="43">
        <f t="shared" si="203"/>
        <v>4125314.88</v>
      </c>
      <c r="AK405" s="44">
        <f>VLOOKUP(D405,[1]apoio_Preços_MGS!$A$6:$AN$238,39,FALSE)</f>
        <v>200.00000000000003</v>
      </c>
      <c r="AL405" s="44">
        <f>IF(J405="demais municípios",VLOOKUP(D405,[1]apoio_Preços_MGS!$A$6:$AN$238,39,FALSE),0)</f>
        <v>0</v>
      </c>
      <c r="AM405" s="44">
        <v>0</v>
      </c>
      <c r="AN405" s="45">
        <f t="shared" si="222"/>
        <v>0</v>
      </c>
      <c r="AO405" s="44">
        <f>VLOOKUP(D405,[1]apoio_Preços_MGS!$A$6:$AN$238,40,FALSE)</f>
        <v>591.89</v>
      </c>
      <c r="AP405" s="44">
        <f>IF(J405="demais municípios",VLOOKUP(D405,[1]apoio_Preços_MGS!$A$6:$AN$238,40,FALSE),0)</f>
        <v>0</v>
      </c>
      <c r="AQ405" s="44">
        <f>TRUNC(ROUND(($I405)/(1-($I405)),5)*VLOOKUP(D405,[1]apoio_Preços_MGS!$A$6:$AN$238,40,FALSE)+VLOOKUP(D405,[1]apoio_Preços_MGS!$A$6:$AN$238,40,FALSE),2)</f>
        <v>623.04</v>
      </c>
      <c r="AR405" s="45">
        <f t="shared" si="223"/>
        <v>4984.32</v>
      </c>
      <c r="AS405" s="45">
        <f t="shared" si="220"/>
        <v>4984.32</v>
      </c>
      <c r="AT405" s="45">
        <f t="shared" si="221"/>
        <v>299059.19999999995</v>
      </c>
      <c r="AU405" s="62"/>
      <c r="AV405" s="46"/>
      <c r="AW405" s="47"/>
      <c r="AX405" s="48"/>
      <c r="AY405" s="49"/>
      <c r="BA405" s="48"/>
    </row>
    <row r="406" spans="1:53" ht="19.5" customHeight="1" x14ac:dyDescent="0.25">
      <c r="A406" s="33" t="str">
        <f t="shared" si="216"/>
        <v>63860440,02</v>
      </c>
      <c r="B406" s="33" t="str">
        <f t="shared" si="217"/>
        <v>960,02</v>
      </c>
      <c r="C406" s="34" t="str">
        <f>VLOOKUP(D406,[1]apoio_Preços_MGS!$A$6:$B$238,2,FALSE)</f>
        <v>MOTORISTA DE VEICULO DE SERVICO</v>
      </c>
      <c r="D406" s="35">
        <v>96</v>
      </c>
      <c r="E406" s="33" t="str">
        <f>VLOOKUP(D406,[1]apoio_Preços_MGS!$A$6:$F$238,6,FALSE)</f>
        <v>MOTORISTA DE VEICULO DE SERVICO - 12x36 DIURNO - 44H</v>
      </c>
      <c r="F406" s="36">
        <f>IFERROR(VLOOKUP(D406,'[1]apoio_cód catmas'!$B$2:$C$863,2,FALSE),0)</f>
        <v>63860</v>
      </c>
      <c r="G406" s="33" t="str">
        <f>IF(H406="N/A",VLOOKUP(F406&amp;40,'[1]apoio_cód catmas'!$A$1:$G$233,4,FALSE),VLOOKUP(F406&amp;H406,'[1]apoio_cód catmas'!$A$1:$G$233,4,FALSE))</f>
        <v>MOTORISTA DE VEICULO DE SERVICO - 12X36 DIURNO - 44H</v>
      </c>
      <c r="H406" s="36">
        <v>44</v>
      </c>
      <c r="I406" s="37">
        <v>0.02</v>
      </c>
      <c r="J406" s="38" t="s">
        <v>46</v>
      </c>
      <c r="K406" s="39">
        <v>4</v>
      </c>
      <c r="L406" s="39">
        <f t="shared" si="196"/>
        <v>240</v>
      </c>
      <c r="M406" s="40">
        <f>VLOOKUP(D406,[1]apoio_Preços_MGS!$A$6:$AN$238,18,FALSE)</f>
        <v>2849.8051013700169</v>
      </c>
      <c r="N406" s="40">
        <f>VLOOKUP(D406,[1]apoio_Preços_MGS!$A$6:$AN$238,19,FALSE)</f>
        <v>0</v>
      </c>
      <c r="O406" s="40">
        <f>VLOOKUP(D406,[1]apoio_Preços_MGS!$A$6:$AN$238,20,FALSE)</f>
        <v>0</v>
      </c>
      <c r="P406" s="40">
        <f>VLOOKUP(D406,[1]apoio_Preços_MGS!$A$6:$AN$238,21,FALSE)</f>
        <v>0</v>
      </c>
      <c r="Q406" s="40">
        <f>VLOOKUP(D406,[1]apoio_Preços_MGS!$A$6:$AN$238,22,FALSE)</f>
        <v>0</v>
      </c>
      <c r="R406" s="40">
        <f>VLOOKUP(D406,[1]apoio_Preços_MGS!$A$6:$AN$238,23,FALSE)</f>
        <v>0</v>
      </c>
      <c r="S406" s="40">
        <f>VLOOKUP(D406,[1]apoio_Preços_MGS!$A$6:$AN$238,24,FALSE)</f>
        <v>220.52063284410846</v>
      </c>
      <c r="T406" s="40">
        <f>VLOOKUP(D406,[1]apoio_Preços_MGS!$A$6:$AN$238,25,FALSE)</f>
        <v>3.9580626407916899</v>
      </c>
      <c r="U406" s="40">
        <f t="shared" si="214"/>
        <v>3074.283796854917</v>
      </c>
      <c r="V406" s="41">
        <f>VLOOKUP(D406,[1]apoio_Preços_MGS!$A$6:$AN$238,27,FALSE)</f>
        <v>0.81799999999999995</v>
      </c>
      <c r="W406" s="40">
        <f t="shared" si="215"/>
        <v>2514.764145827322</v>
      </c>
      <c r="X406" s="40">
        <f>VLOOKUP(D406,[1]apoio_Preços_MGS!$A$6:$AN$238,29,FALSE)</f>
        <v>59.667499999999997</v>
      </c>
      <c r="Y406" s="40">
        <f>VLOOKUP(D406,[1]apoio_Preços_MGS!$A$6:$AN$238,30,FALSE)</f>
        <v>2.8909090909090907</v>
      </c>
      <c r="Z406" s="40">
        <f t="shared" si="199"/>
        <v>62.558409090909088</v>
      </c>
      <c r="AA406" s="40">
        <f>VLOOKUP(D406,[1]apoio_Preços_MGS!$A$6:$AN$238,32,FALSE)</f>
        <v>5.4716257946304321</v>
      </c>
      <c r="AB406" s="40">
        <f>VLOOKUP(D406,[1]apoio_Preços_MGS!$A$6:$AN$238,33,FALSE)</f>
        <v>96.788494613583239</v>
      </c>
      <c r="AC406" s="41">
        <f>VLOOKUP(D406,[1]apoio_Preços_MGS!$A$6:$AN$238,34,FALSE)</f>
        <v>3.312705230825199E-2</v>
      </c>
      <c r="AD406" s="40">
        <f>(U406+W406+Z406+AB406+AA406+VLOOKUP(C406,[1]apoio_Prec_Folha!$A:$S,7,FALSE))*AC406</f>
        <v>210.06451029151205</v>
      </c>
      <c r="AE406" s="42">
        <f>VLOOKUP(D406,[1]apoio_Preços_MGS!$A$6:$AN$238,36,FALSE)</f>
        <v>7.0000000000000007E-2</v>
      </c>
      <c r="AF406" s="40">
        <f>(U406+W406+Z406+AB406+AD406+AA406+VLOOKUP(C406,[1]apoio_Prec_Folha!$A:$S,7,FALSE))*AE406</f>
        <v>458.58692287146204</v>
      </c>
      <c r="AG406" s="40">
        <f t="shared" si="200"/>
        <v>6422.51</v>
      </c>
      <c r="AH406" s="43">
        <f t="shared" si="201"/>
        <v>7236.62</v>
      </c>
      <c r="AI406" s="43">
        <f t="shared" si="202"/>
        <v>28946.48</v>
      </c>
      <c r="AJ406" s="43">
        <f t="shared" si="203"/>
        <v>1736788.8</v>
      </c>
      <c r="AK406" s="44">
        <f>VLOOKUP(D406,[1]apoio_Preços_MGS!$A$6:$AN$238,39,FALSE)</f>
        <v>200.00000000000003</v>
      </c>
      <c r="AL406" s="44">
        <f>IF(J406="demais municípios",VLOOKUP(D406,[1]apoio_Preços_MGS!$A$6:$AN$238,39,FALSE),0)</f>
        <v>200.00000000000003</v>
      </c>
      <c r="AM406" s="44">
        <v>0</v>
      </c>
      <c r="AN406" s="45">
        <f t="shared" ref="AN406:AN407" si="228">AK406*K406</f>
        <v>800.00000000000011</v>
      </c>
      <c r="AO406" s="44">
        <f>VLOOKUP(D406,[1]apoio_Preços_MGS!$A$6:$AN$238,40,FALSE)</f>
        <v>587.30999999999995</v>
      </c>
      <c r="AP406" s="44">
        <f>IF(J406="demais municípios",VLOOKUP(D406,[1]apoio_Preços_MGS!$A$6:$AN$238,40,FALSE),0)</f>
        <v>587.30999999999995</v>
      </c>
      <c r="AQ406" s="44">
        <v>0</v>
      </c>
      <c r="AR406" s="45">
        <f t="shared" ref="AR406:AR407" si="229">AO406*K406</f>
        <v>2349.2399999999998</v>
      </c>
      <c r="AS406" s="45">
        <f t="shared" si="220"/>
        <v>3149.24</v>
      </c>
      <c r="AT406" s="45">
        <f t="shared" si="221"/>
        <v>188954.4</v>
      </c>
      <c r="AU406" s="62"/>
      <c r="AV406" s="46"/>
      <c r="AW406" s="47"/>
      <c r="AX406" s="48"/>
      <c r="AY406" s="49"/>
      <c r="BA406" s="48"/>
    </row>
    <row r="407" spans="1:53" ht="19.5" customHeight="1" x14ac:dyDescent="0.25">
      <c r="A407" s="33" t="str">
        <f t="shared" si="216"/>
        <v>63860440,05</v>
      </c>
      <c r="B407" s="33" t="str">
        <f t="shared" si="217"/>
        <v>960,05</v>
      </c>
      <c r="C407" s="34" t="str">
        <f>VLOOKUP(D407,[1]apoio_Preços_MGS!$A$6:$B$238,2,FALSE)</f>
        <v>MOTORISTA DE VEICULO DE SERVICO</v>
      </c>
      <c r="D407" s="35">
        <v>96</v>
      </c>
      <c r="E407" s="33" t="str">
        <f>VLOOKUP(D407,[1]apoio_Preços_MGS!$A$6:$F$238,6,FALSE)</f>
        <v>MOTORISTA DE VEICULO DE SERVICO - 12x36 DIURNO - 44H</v>
      </c>
      <c r="F407" s="36">
        <f>IFERROR(VLOOKUP(D407,'[1]apoio_cód catmas'!$B$2:$C$863,2,FALSE),0)</f>
        <v>63860</v>
      </c>
      <c r="G407" s="33" t="str">
        <f>IF(H407="N/A",VLOOKUP(F407&amp;40,'[1]apoio_cód catmas'!$A$1:$G$233,4,FALSE),VLOOKUP(F407&amp;H407,'[1]apoio_cód catmas'!$A$1:$G$233,4,FALSE))</f>
        <v>MOTORISTA DE VEICULO DE SERVICO - 12X36 DIURNO - 44H</v>
      </c>
      <c r="H407" s="36">
        <v>44</v>
      </c>
      <c r="I407" s="37">
        <v>0.05</v>
      </c>
      <c r="J407" s="38" t="s">
        <v>46</v>
      </c>
      <c r="K407" s="39">
        <f>18-K408</f>
        <v>4</v>
      </c>
      <c r="L407" s="39">
        <f t="shared" si="196"/>
        <v>240</v>
      </c>
      <c r="M407" s="40">
        <f>VLOOKUP(D407,[1]apoio_Preços_MGS!$A$6:$AN$238,18,FALSE)</f>
        <v>2849.8051013700169</v>
      </c>
      <c r="N407" s="40">
        <f>VLOOKUP(D407,[1]apoio_Preços_MGS!$A$6:$AN$238,19,FALSE)</f>
        <v>0</v>
      </c>
      <c r="O407" s="40">
        <f>VLOOKUP(D407,[1]apoio_Preços_MGS!$A$6:$AN$238,20,FALSE)</f>
        <v>0</v>
      </c>
      <c r="P407" s="40">
        <f>VLOOKUP(D407,[1]apoio_Preços_MGS!$A$6:$AN$238,21,FALSE)</f>
        <v>0</v>
      </c>
      <c r="Q407" s="40">
        <f>VLOOKUP(D407,[1]apoio_Preços_MGS!$A$6:$AN$238,22,FALSE)</f>
        <v>0</v>
      </c>
      <c r="R407" s="40">
        <f>VLOOKUP(D407,[1]apoio_Preços_MGS!$A$6:$AN$238,23,FALSE)</f>
        <v>0</v>
      </c>
      <c r="S407" s="40">
        <f>VLOOKUP(D407,[1]apoio_Preços_MGS!$A$6:$AN$238,24,FALSE)</f>
        <v>220.52063284410846</v>
      </c>
      <c r="T407" s="40">
        <f>VLOOKUP(D407,[1]apoio_Preços_MGS!$A$6:$AN$238,25,FALSE)</f>
        <v>3.9580626407916899</v>
      </c>
      <c r="U407" s="40">
        <f t="shared" si="214"/>
        <v>3074.283796854917</v>
      </c>
      <c r="V407" s="41">
        <v>0.81799999999999995</v>
      </c>
      <c r="W407" s="40">
        <f t="shared" si="215"/>
        <v>2514.764145827322</v>
      </c>
      <c r="X407" s="40">
        <f>VLOOKUP(D407,[1]apoio_Preços_MGS!$A$6:$AN$238,29,FALSE)</f>
        <v>59.667499999999997</v>
      </c>
      <c r="Y407" s="40">
        <f>VLOOKUP(D407,[1]apoio_Preços_MGS!$A$6:$AN$238,30,FALSE)</f>
        <v>2.8909090909090907</v>
      </c>
      <c r="Z407" s="40">
        <f t="shared" si="199"/>
        <v>62.558409090909088</v>
      </c>
      <c r="AA407" s="40">
        <f>VLOOKUP(D407,[1]apoio_Preços_MGS!$A$6:$AN$238,32,FALSE)</f>
        <v>5.4716257946304321</v>
      </c>
      <c r="AB407" s="40">
        <f>VLOOKUP(D407,[1]apoio_Preços_MGS!$A$6:$AN$238,33,FALSE)</f>
        <v>96.788494613583239</v>
      </c>
      <c r="AC407" s="41">
        <f>VLOOKUP(D407,[1]apoio_Preços_MGS!$A$6:$AN$238,34,FALSE)</f>
        <v>3.312705230825199E-2</v>
      </c>
      <c r="AD407" s="40">
        <f>(U407+W407+Z407+AB407+AA407+VLOOKUP(C407,[1]apoio_Prec_Folha!$A:$S,7,FALSE))*AC407</f>
        <v>210.06451029151205</v>
      </c>
      <c r="AE407" s="42">
        <f>VLOOKUP(D407,[1]apoio_Preços_MGS!$A$6:$AN$238,36,FALSE)</f>
        <v>7.0000000000000007E-2</v>
      </c>
      <c r="AF407" s="40">
        <f>(U407+W407+Z407+AB407+AD407+AA407+VLOOKUP(C407,[1]apoio_Prec_Folha!$A:$S,7,FALSE))*AE407</f>
        <v>458.58692287146204</v>
      </c>
      <c r="AG407" s="40">
        <f t="shared" si="200"/>
        <v>6422.51</v>
      </c>
      <c r="AH407" s="43">
        <f t="shared" si="201"/>
        <v>7489.8</v>
      </c>
      <c r="AI407" s="43">
        <f t="shared" si="202"/>
        <v>29959.200000000001</v>
      </c>
      <c r="AJ407" s="43">
        <f t="shared" si="203"/>
        <v>1797552</v>
      </c>
      <c r="AK407" s="44">
        <f>VLOOKUP(D407,[1]apoio_Preços_MGS!$A$6:$AN$238,39,FALSE)</f>
        <v>200.00000000000003</v>
      </c>
      <c r="AL407" s="44">
        <f>IF(J407="demais municípios",VLOOKUP(D407,[1]apoio_Preços_MGS!$A$6:$AN$238,39,FALSE),0)</f>
        <v>200.00000000000003</v>
      </c>
      <c r="AM407" s="44">
        <v>0</v>
      </c>
      <c r="AN407" s="45">
        <f t="shared" si="228"/>
        <v>800.00000000000011</v>
      </c>
      <c r="AO407" s="44">
        <f>VLOOKUP(D407,[1]apoio_Preços_MGS!$A$6:$AN$238,40,FALSE)</f>
        <v>587.30999999999995</v>
      </c>
      <c r="AP407" s="44">
        <f>IF(J407="demais municípios",VLOOKUP(D407,[1]apoio_Preços_MGS!$A$6:$AN$238,40,FALSE),0)</f>
        <v>587.30999999999995</v>
      </c>
      <c r="AQ407" s="44">
        <v>0</v>
      </c>
      <c r="AR407" s="45">
        <f t="shared" si="229"/>
        <v>2349.2399999999998</v>
      </c>
      <c r="AS407" s="45">
        <f t="shared" si="220"/>
        <v>3149.24</v>
      </c>
      <c r="AT407" s="45">
        <f t="shared" si="221"/>
        <v>188954.4</v>
      </c>
      <c r="AU407" s="62"/>
      <c r="AV407" s="46"/>
      <c r="AW407" s="47"/>
      <c r="AX407" s="48"/>
      <c r="AY407" s="49"/>
      <c r="BA407" s="48"/>
    </row>
    <row r="408" spans="1:53" ht="19.5" customHeight="1" x14ac:dyDescent="0.25">
      <c r="A408" s="33" t="str">
        <f t="shared" si="216"/>
        <v>63860440,05</v>
      </c>
      <c r="B408" s="33" t="str">
        <f t="shared" si="217"/>
        <v>960,05</v>
      </c>
      <c r="C408" s="34" t="str">
        <f>VLOOKUP(D408,[1]apoio_Preços_MGS!$A$6:$B$238,2,FALSE)</f>
        <v>MOTORISTA DE VEICULO DE SERVICO</v>
      </c>
      <c r="D408" s="35">
        <v>96</v>
      </c>
      <c r="E408" s="33" t="str">
        <f>VLOOKUP(D408,[1]apoio_Preços_MGS!$A$6:$F$238,6,FALSE)</f>
        <v>MOTORISTA DE VEICULO DE SERVICO - 12x36 DIURNO - 44H</v>
      </c>
      <c r="F408" s="36">
        <f>IFERROR(VLOOKUP(D408,'[1]apoio_cód catmas'!$B$2:$C$863,2,FALSE),0)</f>
        <v>63860</v>
      </c>
      <c r="G408" s="33" t="str">
        <f>IF(H408="N/A",VLOOKUP(F408&amp;40,'[1]apoio_cód catmas'!$A$1:$G$233,4,FALSE),VLOOKUP(F408&amp;H408,'[1]apoio_cód catmas'!$A$1:$G$233,4,FALSE))</f>
        <v>MOTORISTA DE VEICULO DE SERVICO - 12X36 DIURNO - 44H</v>
      </c>
      <c r="H408" s="36">
        <v>44</v>
      </c>
      <c r="I408" s="37">
        <v>0.05</v>
      </c>
      <c r="J408" s="38" t="s">
        <v>47</v>
      </c>
      <c r="K408" s="39">
        <v>14</v>
      </c>
      <c r="L408" s="39">
        <f t="shared" si="196"/>
        <v>840</v>
      </c>
      <c r="M408" s="40">
        <f>VLOOKUP(D408,[1]apoio_Preços_MGS!$A$6:$AN$238,18,FALSE)</f>
        <v>2849.8051013700169</v>
      </c>
      <c r="N408" s="40">
        <f>VLOOKUP(D408,[1]apoio_Preços_MGS!$A$6:$AN$238,19,FALSE)</f>
        <v>0</v>
      </c>
      <c r="O408" s="40">
        <f>VLOOKUP(D408,[1]apoio_Preços_MGS!$A$6:$AN$238,20,FALSE)</f>
        <v>0</v>
      </c>
      <c r="P408" s="40">
        <f>VLOOKUP(D408,[1]apoio_Preços_MGS!$A$6:$AN$238,21,FALSE)</f>
        <v>0</v>
      </c>
      <c r="Q408" s="40">
        <f>VLOOKUP(D408,[1]apoio_Preços_MGS!$A$6:$AN$238,22,FALSE)</f>
        <v>0</v>
      </c>
      <c r="R408" s="40">
        <f>VLOOKUP(D408,[1]apoio_Preços_MGS!$A$6:$AN$238,23,FALSE)</f>
        <v>0</v>
      </c>
      <c r="S408" s="40">
        <f>VLOOKUP(D408,[1]apoio_Preços_MGS!$A$6:$AN$238,24,FALSE)</f>
        <v>220.52063284410846</v>
      </c>
      <c r="T408" s="40">
        <f>VLOOKUP(D408,[1]apoio_Preços_MGS!$A$6:$AN$238,25,FALSE)</f>
        <v>3.9580626407916899</v>
      </c>
      <c r="U408" s="40">
        <f t="shared" si="214"/>
        <v>3074.283796854917</v>
      </c>
      <c r="V408" s="41">
        <v>0.81799999999999995</v>
      </c>
      <c r="W408" s="40">
        <f t="shared" si="215"/>
        <v>2514.764145827322</v>
      </c>
      <c r="X408" s="40">
        <f>VLOOKUP(D408,[1]apoio_Preços_MGS!$A$6:$AN$238,29,FALSE)</f>
        <v>59.667499999999997</v>
      </c>
      <c r="Y408" s="40">
        <f>VLOOKUP(D408,[1]apoio_Preços_MGS!$A$6:$AN$238,30,FALSE)</f>
        <v>2.8909090909090907</v>
      </c>
      <c r="Z408" s="40">
        <f t="shared" si="199"/>
        <v>62.558409090909088</v>
      </c>
      <c r="AA408" s="40">
        <f>VLOOKUP(D408,[1]apoio_Preços_MGS!$A$6:$AN$238,32,FALSE)</f>
        <v>5.4716257946304321</v>
      </c>
      <c r="AB408" s="40">
        <f>VLOOKUP(D408,[1]apoio_Preços_MGS!$A$6:$AN$238,33,FALSE)</f>
        <v>96.788494613583239</v>
      </c>
      <c r="AC408" s="41">
        <f>VLOOKUP(D408,[1]apoio_Preços_MGS!$A$6:$AN$238,34,FALSE)</f>
        <v>3.312705230825199E-2</v>
      </c>
      <c r="AD408" s="40">
        <f>(U408+W408+Z408+AB408+AA408+VLOOKUP(C408,[1]apoio_Prec_Folha!$A:$S,7,FALSE))*AC408</f>
        <v>210.06451029151205</v>
      </c>
      <c r="AE408" s="42">
        <f>VLOOKUP(D408,[1]apoio_Preços_MGS!$A$6:$AN$238,36,FALSE)</f>
        <v>7.0000000000000007E-2</v>
      </c>
      <c r="AF408" s="40">
        <f>(U408+W408+Z408+AB408+AD408+AA408+VLOOKUP(C408,[1]apoio_Prec_Folha!$A:$S,7,FALSE))*AE408</f>
        <v>458.58692287146204</v>
      </c>
      <c r="AG408" s="40">
        <f t="shared" si="200"/>
        <v>6422.51</v>
      </c>
      <c r="AH408" s="43">
        <f t="shared" si="201"/>
        <v>7489.8</v>
      </c>
      <c r="AI408" s="43">
        <f t="shared" si="202"/>
        <v>104857.2</v>
      </c>
      <c r="AJ408" s="43">
        <f t="shared" si="203"/>
        <v>6291432</v>
      </c>
      <c r="AK408" s="44">
        <f>VLOOKUP(D408,[1]apoio_Preços_MGS!$A$6:$AN$238,39,FALSE)</f>
        <v>200.00000000000003</v>
      </c>
      <c r="AL408" s="44">
        <f>IF(J408="demais municípios",VLOOKUP(D408,[1]apoio_Preços_MGS!$A$6:$AN$238,39,FALSE),0)</f>
        <v>0</v>
      </c>
      <c r="AM408" s="44">
        <v>0</v>
      </c>
      <c r="AN408" s="45">
        <f t="shared" si="222"/>
        <v>0</v>
      </c>
      <c r="AO408" s="44">
        <f>VLOOKUP(D408,[1]apoio_Preços_MGS!$A$6:$AN$238,40,FALSE)</f>
        <v>587.30999999999995</v>
      </c>
      <c r="AP408" s="44">
        <f>IF(J408="demais municípios",VLOOKUP(D408,[1]apoio_Preços_MGS!$A$6:$AN$238,40,FALSE),0)</f>
        <v>0</v>
      </c>
      <c r="AQ408" s="44">
        <f>TRUNC(ROUND(($I408)/(1-($I408)),5)*VLOOKUP(D408,[1]apoio_Preços_MGS!$A$6:$AN$238,40,FALSE)+VLOOKUP(D408,[1]apoio_Preços_MGS!$A$6:$AN$238,40,FALSE),2)</f>
        <v>618.22</v>
      </c>
      <c r="AR408" s="45">
        <f t="shared" si="223"/>
        <v>8655.08</v>
      </c>
      <c r="AS408" s="45">
        <f t="shared" si="220"/>
        <v>8655.08</v>
      </c>
      <c r="AT408" s="45">
        <f t="shared" si="221"/>
        <v>519304.8</v>
      </c>
      <c r="AU408" s="62"/>
      <c r="AV408" s="46"/>
      <c r="AW408" s="47"/>
      <c r="AX408" s="48"/>
      <c r="AY408" s="49"/>
      <c r="BA408" s="48"/>
    </row>
    <row r="409" spans="1:53" ht="19.5" customHeight="1" x14ac:dyDescent="0.25">
      <c r="A409" s="33" t="str">
        <f t="shared" si="216"/>
        <v>63878440,05</v>
      </c>
      <c r="B409" s="33" t="str">
        <f t="shared" si="217"/>
        <v>970,05</v>
      </c>
      <c r="C409" s="34" t="str">
        <f>VLOOKUP(D409,[1]apoio_Preços_MGS!$A$6:$B$238,2,FALSE)</f>
        <v>MOTORISTA DE VEICULO DE SERVICO</v>
      </c>
      <c r="D409" s="35">
        <v>97</v>
      </c>
      <c r="E409" s="33" t="str">
        <f>VLOOKUP(D409,[1]apoio_Preços_MGS!$A$6:$F$238,6,FALSE)</f>
        <v>MOTORISTA DE VEICULO DE SERVICO - 12x36 NOTURNO - 44H</v>
      </c>
      <c r="F409" s="36">
        <f>IFERROR(VLOOKUP(D409,'[1]apoio_cód catmas'!$B$2:$C$863,2,FALSE),0)</f>
        <v>63878</v>
      </c>
      <c r="G409" s="33" t="str">
        <f>IF(H409="N/A",VLOOKUP(F409&amp;40,'[1]apoio_cód catmas'!$A$1:$G$233,4,FALSE),VLOOKUP(F409&amp;H409,'[1]apoio_cód catmas'!$A$1:$G$233,4,FALSE))</f>
        <v>MOTORISTA DE VEICULO DE SERVICO - 12X36 NOTURNO - 44H</v>
      </c>
      <c r="H409" s="36">
        <v>44</v>
      </c>
      <c r="I409" s="37">
        <v>0.05</v>
      </c>
      <c r="J409" s="38" t="s">
        <v>47</v>
      </c>
      <c r="K409" s="39">
        <v>4</v>
      </c>
      <c r="L409" s="39">
        <f t="shared" si="196"/>
        <v>240</v>
      </c>
      <c r="M409" s="40">
        <f>VLOOKUP(D409,[1]apoio_Preços_MGS!$A$6:$AN$238,18,FALSE)</f>
        <v>2849.8051013700169</v>
      </c>
      <c r="N409" s="40">
        <f>VLOOKUP(D409,[1]apoio_Preços_MGS!$A$6:$AN$238,19,FALSE)</f>
        <v>0</v>
      </c>
      <c r="O409" s="40">
        <f>VLOOKUP(D409,[1]apoio_Preços_MGS!$A$6:$AN$238,20,FALSE)</f>
        <v>663.88905205164667</v>
      </c>
      <c r="P409" s="40">
        <f>VLOOKUP(D409,[1]apoio_Preços_MGS!$A$6:$AN$238,21,FALSE)</f>
        <v>14.491678750775582</v>
      </c>
      <c r="Q409" s="40">
        <f>VLOOKUP(D409,[1]apoio_Preços_MGS!$A$6:$AN$238,22,FALSE)</f>
        <v>54.343779012269835</v>
      </c>
      <c r="R409" s="40">
        <f>VLOOKUP(D409,[1]apoio_Preços_MGS!$A$6:$AN$238,23,FALSE)</f>
        <v>0</v>
      </c>
      <c r="S409" s="40">
        <f>VLOOKUP(D409,[1]apoio_Preços_MGS!$A$6:$AN$238,24,FALSE)</f>
        <v>220.52063284410846</v>
      </c>
      <c r="T409" s="40">
        <f>VLOOKUP(D409,[1]apoio_Preços_MGS!$A$6:$AN$238,25,FALSE)</f>
        <v>3.9580626407916899</v>
      </c>
      <c r="U409" s="40">
        <f t="shared" si="214"/>
        <v>3807.0083066696088</v>
      </c>
      <c r="V409" s="41">
        <v>0.81799999999999995</v>
      </c>
      <c r="W409" s="40">
        <f t="shared" si="215"/>
        <v>3114.13279485574</v>
      </c>
      <c r="X409" s="40">
        <f>VLOOKUP(D409,[1]apoio_Preços_MGS!$A$6:$AN$238,29,FALSE)</f>
        <v>59.667499999999997</v>
      </c>
      <c r="Y409" s="40">
        <f>VLOOKUP(D409,[1]apoio_Preços_MGS!$A$6:$AN$238,30,FALSE)</f>
        <v>2.8909090909090907</v>
      </c>
      <c r="Z409" s="40">
        <f t="shared" si="199"/>
        <v>62.558409090909088</v>
      </c>
      <c r="AA409" s="40">
        <f>VLOOKUP(D409,[1]apoio_Preços_MGS!$A$6:$AN$238,32,FALSE)</f>
        <v>5.4716257946304321</v>
      </c>
      <c r="AB409" s="40">
        <f>VLOOKUP(D409,[1]apoio_Preços_MGS!$A$6:$AN$238,33,FALSE)</f>
        <v>96.788494613583239</v>
      </c>
      <c r="AC409" s="41">
        <f>VLOOKUP(D409,[1]apoio_Preços_MGS!$A$6:$AN$238,34,FALSE)</f>
        <v>3.312705230825199E-2</v>
      </c>
      <c r="AD409" s="40">
        <f>(U409+W409+Z409+AB409+AA409+VLOOKUP(C409,[1]apoio_Prec_Folha!$A:$S,7,FALSE))*AC409</f>
        <v>254.19283004397241</v>
      </c>
      <c r="AE409" s="42">
        <f>VLOOKUP(D409,[1]apoio_Preços_MGS!$A$6:$AN$238,36,FALSE)</f>
        <v>7.0000000000000007E-2</v>
      </c>
      <c r="AF409" s="40">
        <f>(U409+W409+Z409+AB409+AD409+AA409+VLOOKUP(C409,[1]apoio_Prec_Folha!$A:$S,7,FALSE))*AE409</f>
        <v>554.92242637315201</v>
      </c>
      <c r="AG409" s="40">
        <f t="shared" si="200"/>
        <v>7895.07</v>
      </c>
      <c r="AH409" s="43">
        <f t="shared" si="201"/>
        <v>9207.07</v>
      </c>
      <c r="AI409" s="43">
        <f t="shared" si="202"/>
        <v>36828.28</v>
      </c>
      <c r="AJ409" s="43">
        <f t="shared" si="203"/>
        <v>2209696.7999999998</v>
      </c>
      <c r="AK409" s="44">
        <f>VLOOKUP(D409,[1]apoio_Preços_MGS!$A$6:$AN$238,39,FALSE)</f>
        <v>200.00000000000003</v>
      </c>
      <c r="AL409" s="44">
        <f>IF(J409="demais municípios",VLOOKUP(D409,[1]apoio_Preços_MGS!$A$6:$AN$238,39,FALSE),0)</f>
        <v>0</v>
      </c>
      <c r="AM409" s="44">
        <v>0</v>
      </c>
      <c r="AN409" s="45">
        <f t="shared" si="222"/>
        <v>0</v>
      </c>
      <c r="AO409" s="44">
        <f>VLOOKUP(D409,[1]apoio_Preços_MGS!$A$6:$AN$238,40,FALSE)</f>
        <v>587.30999999999995</v>
      </c>
      <c r="AP409" s="44">
        <f>IF(J409="demais municípios",VLOOKUP(D409,[1]apoio_Preços_MGS!$A$6:$AN$238,40,FALSE),0)</f>
        <v>0</v>
      </c>
      <c r="AQ409" s="44">
        <f>TRUNC(ROUND(($I409)/(1-($I409)),5)*VLOOKUP(D409,[1]apoio_Preços_MGS!$A$6:$AN$238,40,FALSE)+VLOOKUP(D409,[1]apoio_Preços_MGS!$A$6:$AN$238,40,FALSE),2)</f>
        <v>618.22</v>
      </c>
      <c r="AR409" s="45">
        <f t="shared" si="223"/>
        <v>2472.88</v>
      </c>
      <c r="AS409" s="45">
        <f t="shared" si="220"/>
        <v>2472.88</v>
      </c>
      <c r="AT409" s="45">
        <f t="shared" si="221"/>
        <v>148372.80000000002</v>
      </c>
      <c r="AU409" s="62"/>
      <c r="AV409" s="46"/>
      <c r="AW409" s="47"/>
      <c r="AX409" s="48"/>
      <c r="AY409" s="49"/>
      <c r="BA409" s="48"/>
    </row>
    <row r="410" spans="1:53" ht="19.5" customHeight="1" x14ac:dyDescent="0.25">
      <c r="A410" s="33" t="str">
        <f t="shared" si="216"/>
        <v>129089400,03</v>
      </c>
      <c r="B410" s="33" t="str">
        <f t="shared" si="217"/>
        <v>14300,03</v>
      </c>
      <c r="C410" s="34" t="str">
        <f>VLOOKUP(D410,[1]apoio_Preços_MGS!$A$6:$B$238,2,FALSE)</f>
        <v>MOTORISTA DE VEICULO DE SERVICO</v>
      </c>
      <c r="D410" s="35">
        <v>1430</v>
      </c>
      <c r="E410" s="33" t="str">
        <f>VLOOKUP(D410,[1]apoio_Preços_MGS!$A$6:$F$238,6,FALSE)</f>
        <v>MOTORISTA DE VEICULO DE SERVICO - DIARISTA DIURNO - 40H</v>
      </c>
      <c r="F410" s="36">
        <f>IFERROR(VLOOKUP(D410,'[1]apoio_cód catmas'!$B$2:$C$863,2,FALSE),0)</f>
        <v>129089</v>
      </c>
      <c r="G410" s="33" t="str">
        <f>IF(H410="N/A",VLOOKUP(F410&amp;40,'[1]apoio_cód catmas'!$A$1:$G$233,4,FALSE),VLOOKUP(F410&amp;H410,'[1]apoio_cód catmas'!$A$1:$G$233,4,FALSE))</f>
        <v>MOTORISTA DE VEICULO DE SERVICO - 40 H</v>
      </c>
      <c r="H410" s="36">
        <v>40</v>
      </c>
      <c r="I410" s="37">
        <v>0.03</v>
      </c>
      <c r="J410" s="38" t="s">
        <v>46</v>
      </c>
      <c r="K410" s="39">
        <v>1</v>
      </c>
      <c r="L410" s="39">
        <f t="shared" si="196"/>
        <v>60</v>
      </c>
      <c r="M410" s="40">
        <f>VLOOKUP(D410,[1]apoio_Preços_MGS!$A$6:$AN$238,18,FALSE)</f>
        <v>2590.7319103363789</v>
      </c>
      <c r="N410" s="40">
        <f>VLOOKUP(D410,[1]apoio_Preços_MGS!$A$6:$AN$238,19,FALSE)</f>
        <v>0</v>
      </c>
      <c r="O410" s="40">
        <f>VLOOKUP(D410,[1]apoio_Preços_MGS!$A$6:$AN$238,20,FALSE)</f>
        <v>0</v>
      </c>
      <c r="P410" s="40">
        <f>VLOOKUP(D410,[1]apoio_Preços_MGS!$A$6:$AN$238,21,FALSE)</f>
        <v>0</v>
      </c>
      <c r="Q410" s="40">
        <f>VLOOKUP(D410,[1]apoio_Preços_MGS!$A$6:$AN$238,22,FALSE)</f>
        <v>0</v>
      </c>
      <c r="R410" s="40">
        <f>VLOOKUP(D410,[1]apoio_Preços_MGS!$A$6:$AN$238,23,FALSE)</f>
        <v>0</v>
      </c>
      <c r="S410" s="40">
        <f>VLOOKUP(D410,[1]apoio_Preços_MGS!$A$6:$AN$238,24,FALSE)</f>
        <v>0</v>
      </c>
      <c r="T410" s="40">
        <f>VLOOKUP(D410,[1]apoio_Preços_MGS!$A$6:$AN$238,25,FALSE)</f>
        <v>0</v>
      </c>
      <c r="U410" s="40">
        <f t="shared" si="214"/>
        <v>2590.7319103363789</v>
      </c>
      <c r="V410" s="41">
        <v>0.81799999999999995</v>
      </c>
      <c r="W410" s="40">
        <f t="shared" si="215"/>
        <v>2119.2187026551578</v>
      </c>
      <c r="X410" s="40">
        <f>VLOOKUP(D410,[1]apoio_Preços_MGS!$A$6:$AN$238,29,FALSE)</f>
        <v>59.667499999999997</v>
      </c>
      <c r="Y410" s="40">
        <f>VLOOKUP(D410,[1]apoio_Preços_MGS!$A$6:$AN$238,30,FALSE)</f>
        <v>2.8909090909090907</v>
      </c>
      <c r="Z410" s="40">
        <f t="shared" si="199"/>
        <v>62.558409090909088</v>
      </c>
      <c r="AA410" s="40">
        <f>VLOOKUP(D410,[1]apoio_Preços_MGS!$A$6:$AN$238,32,FALSE)</f>
        <v>4.9742052678458473</v>
      </c>
      <c r="AB410" s="40">
        <f>VLOOKUP(D410,[1]apoio_Preços_MGS!$A$6:$AN$238,33,FALSE)</f>
        <v>102.98993808814147</v>
      </c>
      <c r="AC410" s="41">
        <f>VLOOKUP(D410,[1]apoio_Preços_MGS!$A$6:$AN$238,34,FALSE)</f>
        <v>3.312705230825199E-2</v>
      </c>
      <c r="AD410" s="40">
        <f>(U410+W410+Z410+AB410+AA410+VLOOKUP(C410,[1]apoio_Prec_Folha!$A:$S,7,FALSE))*AC410</f>
        <v>181.13156453336191</v>
      </c>
      <c r="AE410" s="42">
        <f>VLOOKUP(D410,[1]apoio_Preços_MGS!$A$6:$AN$238,36,FALSE)</f>
        <v>7.0000000000000007E-2</v>
      </c>
      <c r="AF410" s="40">
        <f>(U410+W410+Z410+AB410+AD410+AA410+VLOOKUP(C410,[1]apoio_Prec_Folha!$A:$S,7,FALSE))*AE410</f>
        <v>395.4240851963865</v>
      </c>
      <c r="AG410" s="40">
        <f t="shared" si="200"/>
        <v>5457.02</v>
      </c>
      <c r="AH410" s="43">
        <f t="shared" si="201"/>
        <v>6218.81</v>
      </c>
      <c r="AI410" s="43">
        <f t="shared" si="202"/>
        <v>6218.81</v>
      </c>
      <c r="AJ410" s="43">
        <f t="shared" si="203"/>
        <v>373128.60000000003</v>
      </c>
      <c r="AK410" s="44">
        <f>VLOOKUP(D410,[1]apoio_Preços_MGS!$A$6:$AN$238,39,FALSE)</f>
        <v>181.81818181818184</v>
      </c>
      <c r="AL410" s="44">
        <f>IF(J410="demais municípios",VLOOKUP(D410,[1]apoio_Preços_MGS!$A$6:$AN$238,39,FALSE),0)</f>
        <v>181.81818181818184</v>
      </c>
      <c r="AM410" s="44">
        <v>0</v>
      </c>
      <c r="AN410" s="45">
        <f>AK410*K410</f>
        <v>181.81818181818184</v>
      </c>
      <c r="AO410" s="44">
        <f>VLOOKUP(D410,[1]apoio_Preços_MGS!$A$6:$AN$238,40,FALSE)</f>
        <v>587.30999999999995</v>
      </c>
      <c r="AP410" s="44">
        <f>IF(J410="demais municípios",VLOOKUP(D410,[1]apoio_Preços_MGS!$A$6:$AN$238,40,FALSE),0)</f>
        <v>587.30999999999995</v>
      </c>
      <c r="AQ410" s="44">
        <v>0</v>
      </c>
      <c r="AR410" s="45">
        <f>AO410*K410</f>
        <v>587.30999999999995</v>
      </c>
      <c r="AS410" s="45">
        <f t="shared" si="220"/>
        <v>769.12818181818182</v>
      </c>
      <c r="AT410" s="45">
        <f t="shared" si="221"/>
        <v>46147.69090909091</v>
      </c>
      <c r="AU410" s="62"/>
      <c r="AV410" s="46"/>
      <c r="AW410" s="47"/>
      <c r="AX410" s="48"/>
      <c r="AY410" s="49"/>
      <c r="BA410" s="48"/>
    </row>
    <row r="411" spans="1:53" ht="19.5" customHeight="1" x14ac:dyDescent="0.25">
      <c r="A411" s="33" t="str">
        <f t="shared" si="216"/>
        <v>129089400,05</v>
      </c>
      <c r="B411" s="33" t="str">
        <f t="shared" si="217"/>
        <v>14300,05</v>
      </c>
      <c r="C411" s="34" t="str">
        <f>VLOOKUP(D411,[1]apoio_Preços_MGS!$A$6:$B$238,2,FALSE)</f>
        <v>MOTORISTA DE VEICULO DE SERVICO</v>
      </c>
      <c r="D411" s="35">
        <v>1430</v>
      </c>
      <c r="E411" s="33" t="str">
        <f>VLOOKUP(D411,[1]apoio_Preços_MGS!$A$6:$F$238,6,FALSE)</f>
        <v>MOTORISTA DE VEICULO DE SERVICO - DIARISTA DIURNO - 40H</v>
      </c>
      <c r="F411" s="36">
        <f>IFERROR(VLOOKUP(D411,'[1]apoio_cód catmas'!$B$2:$C$863,2,FALSE),0)</f>
        <v>129089</v>
      </c>
      <c r="G411" s="33" t="str">
        <f>IF(H411="N/A",VLOOKUP(F411&amp;40,'[1]apoio_cód catmas'!$A$1:$G$233,4,FALSE),VLOOKUP(F411&amp;H411,'[1]apoio_cód catmas'!$A$1:$G$233,4,FALSE))</f>
        <v>MOTORISTA DE VEICULO DE SERVICO - 40 H</v>
      </c>
      <c r="H411" s="36">
        <v>40</v>
      </c>
      <c r="I411" s="37">
        <v>0.05</v>
      </c>
      <c r="J411" s="38" t="s">
        <v>47</v>
      </c>
      <c r="K411" s="39">
        <v>5</v>
      </c>
      <c r="L411" s="39">
        <f t="shared" si="196"/>
        <v>300</v>
      </c>
      <c r="M411" s="40">
        <f>VLOOKUP(D411,[1]apoio_Preços_MGS!$A$6:$AN$238,18,FALSE)</f>
        <v>2590.7319103363789</v>
      </c>
      <c r="N411" s="40">
        <f>VLOOKUP(D411,[1]apoio_Preços_MGS!$A$6:$AN$238,19,FALSE)</f>
        <v>0</v>
      </c>
      <c r="O411" s="40">
        <f>VLOOKUP(D411,[1]apoio_Preços_MGS!$A$6:$AN$238,20,FALSE)</f>
        <v>0</v>
      </c>
      <c r="P411" s="40">
        <f>VLOOKUP(D411,[1]apoio_Preços_MGS!$A$6:$AN$238,21,FALSE)</f>
        <v>0</v>
      </c>
      <c r="Q411" s="40">
        <f>VLOOKUP(D411,[1]apoio_Preços_MGS!$A$6:$AN$238,22,FALSE)</f>
        <v>0</v>
      </c>
      <c r="R411" s="40">
        <f>VLOOKUP(D411,[1]apoio_Preços_MGS!$A$6:$AN$238,23,FALSE)</f>
        <v>0</v>
      </c>
      <c r="S411" s="40">
        <f>VLOOKUP(D411,[1]apoio_Preços_MGS!$A$6:$AN$238,24,FALSE)</f>
        <v>0</v>
      </c>
      <c r="T411" s="40">
        <f>VLOOKUP(D411,[1]apoio_Preços_MGS!$A$6:$AN$238,25,FALSE)</f>
        <v>0</v>
      </c>
      <c r="U411" s="40">
        <f t="shared" si="214"/>
        <v>2590.7319103363789</v>
      </c>
      <c r="V411" s="41">
        <v>0.81799999999999995</v>
      </c>
      <c r="W411" s="40">
        <f t="shared" si="215"/>
        <v>2119.2187026551578</v>
      </c>
      <c r="X411" s="40">
        <f>VLOOKUP(D411,[1]apoio_Preços_MGS!$A$6:$AN$238,29,FALSE)</f>
        <v>59.667499999999997</v>
      </c>
      <c r="Y411" s="40">
        <f>VLOOKUP(D411,[1]apoio_Preços_MGS!$A$6:$AN$238,30,FALSE)</f>
        <v>2.8909090909090907</v>
      </c>
      <c r="Z411" s="40">
        <f t="shared" si="199"/>
        <v>62.558409090909088</v>
      </c>
      <c r="AA411" s="40">
        <f>VLOOKUP(D411,[1]apoio_Preços_MGS!$A$6:$AN$238,32,FALSE)</f>
        <v>4.9742052678458473</v>
      </c>
      <c r="AB411" s="40">
        <f>VLOOKUP(D411,[1]apoio_Preços_MGS!$A$6:$AN$238,33,FALSE)</f>
        <v>102.98993808814147</v>
      </c>
      <c r="AC411" s="41">
        <f>VLOOKUP(D411,[1]apoio_Preços_MGS!$A$6:$AN$238,34,FALSE)</f>
        <v>3.312705230825199E-2</v>
      </c>
      <c r="AD411" s="40">
        <f>(U411+W411+Z411+AB411+AA411+VLOOKUP(C411,[1]apoio_Prec_Folha!$A:$S,7,FALSE))*AC411</f>
        <v>181.13156453336191</v>
      </c>
      <c r="AE411" s="42">
        <f>VLOOKUP(D411,[1]apoio_Preços_MGS!$A$6:$AN$238,36,FALSE)</f>
        <v>7.0000000000000007E-2</v>
      </c>
      <c r="AF411" s="40">
        <f>(U411+W411+Z411+AB411+AD411+AA411+VLOOKUP(C411,[1]apoio_Prec_Folha!$A:$S,7,FALSE))*AE411</f>
        <v>395.4240851963865</v>
      </c>
      <c r="AG411" s="40">
        <f t="shared" si="200"/>
        <v>5457.02</v>
      </c>
      <c r="AH411" s="43">
        <f t="shared" si="201"/>
        <v>6363.86</v>
      </c>
      <c r="AI411" s="43">
        <f t="shared" si="202"/>
        <v>31819.3</v>
      </c>
      <c r="AJ411" s="43">
        <f t="shared" si="203"/>
        <v>1909158</v>
      </c>
      <c r="AK411" s="44">
        <f>VLOOKUP(D411,[1]apoio_Preços_MGS!$A$6:$AN$238,39,FALSE)</f>
        <v>181.81818181818184</v>
      </c>
      <c r="AL411" s="44">
        <f>IF(J411="demais municípios",VLOOKUP(D411,[1]apoio_Preços_MGS!$A$6:$AN$238,39,FALSE),0)</f>
        <v>0</v>
      </c>
      <c r="AM411" s="44">
        <v>0</v>
      </c>
      <c r="AN411" s="45">
        <f t="shared" si="222"/>
        <v>0</v>
      </c>
      <c r="AO411" s="44">
        <f>VLOOKUP(D411,[1]apoio_Preços_MGS!$A$6:$AN$238,40,FALSE)</f>
        <v>587.30999999999995</v>
      </c>
      <c r="AP411" s="44">
        <f>IF(J411="demais municípios",VLOOKUP(D411,[1]apoio_Preços_MGS!$A$6:$AN$238,40,FALSE),0)</f>
        <v>0</v>
      </c>
      <c r="AQ411" s="44">
        <f>TRUNC(ROUND(($I411)/(1-($I411)),5)*VLOOKUP(D411,[1]apoio_Preços_MGS!$A$6:$AN$238,40,FALSE)+VLOOKUP(D411,[1]apoio_Preços_MGS!$A$6:$AN$238,40,FALSE),2)</f>
        <v>618.22</v>
      </c>
      <c r="AR411" s="45">
        <f t="shared" si="223"/>
        <v>3091.1000000000004</v>
      </c>
      <c r="AS411" s="45">
        <f t="shared" si="220"/>
        <v>3091.1000000000004</v>
      </c>
      <c r="AT411" s="45">
        <f t="shared" si="221"/>
        <v>185466.00000000003</v>
      </c>
      <c r="AU411" s="62"/>
      <c r="AV411" s="46"/>
      <c r="AW411" s="47"/>
      <c r="AX411" s="48"/>
      <c r="AY411" s="49"/>
      <c r="BA411" s="48"/>
    </row>
    <row r="412" spans="1:53" ht="19.5" customHeight="1" x14ac:dyDescent="0.25">
      <c r="A412" s="33" t="str">
        <f t="shared" si="216"/>
        <v>63363440,02</v>
      </c>
      <c r="B412" s="33" t="str">
        <f t="shared" si="217"/>
        <v>940,02</v>
      </c>
      <c r="C412" s="34" t="str">
        <f>VLOOKUP(D412,[1]apoio_Preços_MGS!$A$6:$B$238,2,FALSE)</f>
        <v>MOTORISTA DE VEICULO DE SERVICO</v>
      </c>
      <c r="D412" s="35">
        <v>94</v>
      </c>
      <c r="E412" s="33" t="str">
        <f>VLOOKUP(D412,[1]apoio_Preços_MGS!$A$6:$F$238,6,FALSE)</f>
        <v>MOTORISTA DE VEICULO DE SERVICO - DIARISTA DIURNO - 44H</v>
      </c>
      <c r="F412" s="36">
        <f>IFERROR(VLOOKUP(D412,'[1]apoio_cód catmas'!$B$2:$C$863,2,FALSE),0)</f>
        <v>63363</v>
      </c>
      <c r="G412" s="33" t="str">
        <f>IF(H412="N/A",VLOOKUP(F412&amp;40,'[1]apoio_cód catmas'!$A$1:$G$233,4,FALSE),VLOOKUP(F412&amp;H412,'[1]apoio_cód catmas'!$A$1:$G$233,4,FALSE))</f>
        <v>MOTORISTA DE VEICULO DE SERVICO - 44H</v>
      </c>
      <c r="H412" s="36">
        <v>44</v>
      </c>
      <c r="I412" s="37">
        <v>0.02</v>
      </c>
      <c r="J412" s="38" t="s">
        <v>46</v>
      </c>
      <c r="K412" s="39">
        <v>86</v>
      </c>
      <c r="L412" s="39">
        <f t="shared" si="196"/>
        <v>5160</v>
      </c>
      <c r="M412" s="40">
        <f>VLOOKUP(D412,[1]apoio_Preços_MGS!$A$6:$AN$238,18,FALSE)</f>
        <v>2849.8051013700169</v>
      </c>
      <c r="N412" s="40">
        <f>VLOOKUP(D412,[1]apoio_Preços_MGS!$A$6:$AN$238,19,FALSE)</f>
        <v>0</v>
      </c>
      <c r="O412" s="40">
        <f>VLOOKUP(D412,[1]apoio_Preços_MGS!$A$6:$AN$238,20,FALSE)</f>
        <v>0</v>
      </c>
      <c r="P412" s="40">
        <f>VLOOKUP(D412,[1]apoio_Preços_MGS!$A$6:$AN$238,21,FALSE)</f>
        <v>0</v>
      </c>
      <c r="Q412" s="40">
        <f>VLOOKUP(D412,[1]apoio_Preços_MGS!$A$6:$AN$238,22,FALSE)</f>
        <v>0</v>
      </c>
      <c r="R412" s="40">
        <f>VLOOKUP(D412,[1]apoio_Preços_MGS!$A$6:$AN$238,23,FALSE)</f>
        <v>0</v>
      </c>
      <c r="S412" s="40">
        <f>VLOOKUP(D412,[1]apoio_Preços_MGS!$A$6:$AN$238,24,FALSE)</f>
        <v>0</v>
      </c>
      <c r="T412" s="40">
        <f>VLOOKUP(D412,[1]apoio_Preços_MGS!$A$6:$AN$238,25,FALSE)</f>
        <v>0</v>
      </c>
      <c r="U412" s="40">
        <f t="shared" si="214"/>
        <v>2849.8051013700169</v>
      </c>
      <c r="V412" s="41">
        <v>0.81799999999999995</v>
      </c>
      <c r="W412" s="40">
        <f t="shared" si="215"/>
        <v>2331.1405729206735</v>
      </c>
      <c r="X412" s="40">
        <f>VLOOKUP(D412,[1]apoio_Preços_MGS!$A$6:$AN$238,29,FALSE)</f>
        <v>59.667499999999997</v>
      </c>
      <c r="Y412" s="40">
        <f>VLOOKUP(D412,[1]apoio_Preços_MGS!$A$6:$AN$238,30,FALSE)</f>
        <v>2.8909090909090907</v>
      </c>
      <c r="Z412" s="40">
        <f t="shared" si="199"/>
        <v>62.558409090909088</v>
      </c>
      <c r="AA412" s="40">
        <f>VLOOKUP(D412,[1]apoio_Preços_MGS!$A$6:$AN$238,32,FALSE)</f>
        <v>5.4716257946304321</v>
      </c>
      <c r="AB412" s="40">
        <f>VLOOKUP(D412,[1]apoio_Preços_MGS!$A$6:$AN$238,33,FALSE)</f>
        <v>96.788494613583239</v>
      </c>
      <c r="AC412" s="41">
        <f>VLOOKUP(D412,[1]apoio_Preços_MGS!$A$6:$AN$238,34,FALSE)</f>
        <v>3.312705230825199E-2</v>
      </c>
      <c r="AD412" s="40">
        <f>(U412+W412+Z412+AB412+AA412+VLOOKUP(C412,[1]apoio_Prec_Folha!$A:$S,7,FALSE))*AC412</f>
        <v>196.54528509938893</v>
      </c>
      <c r="AE412" s="42">
        <f>VLOOKUP(D412,[1]apoio_Preços_MGS!$A$6:$AN$238,36,FALSE)</f>
        <v>7.0000000000000007E-2</v>
      </c>
      <c r="AF412" s="40">
        <f>(U412+W412+Z412+AB412+AD412+AA412+VLOOKUP(C412,[1]apoio_Prec_Folha!$A:$S,7,FALSE))*AE412</f>
        <v>429.07341832060501</v>
      </c>
      <c r="AG412" s="40">
        <f t="shared" si="200"/>
        <v>5971.38</v>
      </c>
      <c r="AH412" s="43">
        <f t="shared" si="201"/>
        <v>6728.31</v>
      </c>
      <c r="AI412" s="43">
        <f t="shared" si="202"/>
        <v>578634.66</v>
      </c>
      <c r="AJ412" s="43">
        <f t="shared" si="203"/>
        <v>34718079.600000001</v>
      </c>
      <c r="AK412" s="44">
        <f>VLOOKUP(D412,[1]apoio_Preços_MGS!$A$6:$AN$238,39,FALSE)</f>
        <v>200.00000000000003</v>
      </c>
      <c r="AL412" s="44">
        <f>IF(J412="demais municípios",VLOOKUP(D412,[1]apoio_Preços_MGS!$A$6:$AN$238,39,FALSE),0)</f>
        <v>200.00000000000003</v>
      </c>
      <c r="AM412" s="44">
        <v>0</v>
      </c>
      <c r="AN412" s="45">
        <f t="shared" ref="AN412:AN420" si="230">AK412*K412</f>
        <v>17200.000000000004</v>
      </c>
      <c r="AO412" s="44">
        <f>VLOOKUP(D412,[1]apoio_Preços_MGS!$A$6:$AN$238,40,FALSE)</f>
        <v>587.30999999999995</v>
      </c>
      <c r="AP412" s="44">
        <f>IF(J412="demais municípios",VLOOKUP(D412,[1]apoio_Preços_MGS!$A$6:$AN$238,40,FALSE),0)</f>
        <v>587.30999999999995</v>
      </c>
      <c r="AQ412" s="44">
        <v>0</v>
      </c>
      <c r="AR412" s="45">
        <f t="shared" ref="AR412:AR420" si="231">AO412*K412</f>
        <v>50508.659999999996</v>
      </c>
      <c r="AS412" s="45">
        <f t="shared" si="220"/>
        <v>67708.66</v>
      </c>
      <c r="AT412" s="45">
        <f t="shared" si="221"/>
        <v>4062519.6</v>
      </c>
      <c r="AU412" s="62"/>
      <c r="AV412" s="46"/>
      <c r="AW412" s="47"/>
      <c r="AX412" s="48"/>
      <c r="AY412" s="49"/>
      <c r="BA412" s="48"/>
    </row>
    <row r="413" spans="1:53" ht="19.5" customHeight="1" x14ac:dyDescent="0.25">
      <c r="A413" s="33" t="str">
        <f t="shared" si="216"/>
        <v>63363440,025</v>
      </c>
      <c r="B413" s="33" t="str">
        <f t="shared" si="217"/>
        <v>940,025</v>
      </c>
      <c r="C413" s="34" t="str">
        <f>VLOOKUP(D413,[1]apoio_Preços_MGS!$A$6:$B$238,2,FALSE)</f>
        <v>MOTORISTA DE VEICULO DE SERVICO</v>
      </c>
      <c r="D413" s="35">
        <v>94</v>
      </c>
      <c r="E413" s="33" t="str">
        <f>VLOOKUP(D413,[1]apoio_Preços_MGS!$A$6:$F$238,6,FALSE)</f>
        <v>MOTORISTA DE VEICULO DE SERVICO - DIARISTA DIURNO - 44H</v>
      </c>
      <c r="F413" s="36">
        <f>IFERROR(VLOOKUP(D413,'[1]apoio_cód catmas'!$B$2:$C$863,2,FALSE),0)</f>
        <v>63363</v>
      </c>
      <c r="G413" s="33" t="str">
        <f>IF(H413="N/A",VLOOKUP(F413&amp;40,'[1]apoio_cód catmas'!$A$1:$G$233,4,FALSE),VLOOKUP(F413&amp;H413,'[1]apoio_cód catmas'!$A$1:$G$233,4,FALSE))</f>
        <v>MOTORISTA DE VEICULO DE SERVICO - 44H</v>
      </c>
      <c r="H413" s="36">
        <v>44</v>
      </c>
      <c r="I413" s="37">
        <v>2.5000000000000001E-2</v>
      </c>
      <c r="J413" s="38" t="s">
        <v>46</v>
      </c>
      <c r="K413" s="39">
        <v>1</v>
      </c>
      <c r="L413" s="39">
        <f t="shared" si="196"/>
        <v>60</v>
      </c>
      <c r="M413" s="40">
        <f>VLOOKUP(D413,[1]apoio_Preços_MGS!$A$6:$AN$238,18,FALSE)</f>
        <v>2849.8051013700169</v>
      </c>
      <c r="N413" s="40">
        <f>VLOOKUP(D413,[1]apoio_Preços_MGS!$A$6:$AN$238,19,FALSE)</f>
        <v>0</v>
      </c>
      <c r="O413" s="40">
        <f>VLOOKUP(D413,[1]apoio_Preços_MGS!$A$6:$AN$238,20,FALSE)</f>
        <v>0</v>
      </c>
      <c r="P413" s="40">
        <f>VLOOKUP(D413,[1]apoio_Preços_MGS!$A$6:$AN$238,21,FALSE)</f>
        <v>0</v>
      </c>
      <c r="Q413" s="40">
        <f>VLOOKUP(D413,[1]apoio_Preços_MGS!$A$6:$AN$238,22,FALSE)</f>
        <v>0</v>
      </c>
      <c r="R413" s="40">
        <f>VLOOKUP(D413,[1]apoio_Preços_MGS!$A$6:$AN$238,23,FALSE)</f>
        <v>0</v>
      </c>
      <c r="S413" s="40">
        <f>VLOOKUP(D413,[1]apoio_Preços_MGS!$A$6:$AN$238,24,FALSE)</f>
        <v>0</v>
      </c>
      <c r="T413" s="40">
        <f>VLOOKUP(D413,[1]apoio_Preços_MGS!$A$6:$AN$238,25,FALSE)</f>
        <v>0</v>
      </c>
      <c r="U413" s="40">
        <f t="shared" si="214"/>
        <v>2849.8051013700169</v>
      </c>
      <c r="V413" s="41">
        <v>0.81799999999999995</v>
      </c>
      <c r="W413" s="40">
        <f t="shared" si="215"/>
        <v>2331.1405729206735</v>
      </c>
      <c r="X413" s="40">
        <f>VLOOKUP(D413,[1]apoio_Preços_MGS!$A$6:$AN$238,29,FALSE)</f>
        <v>59.667499999999997</v>
      </c>
      <c r="Y413" s="40">
        <f>VLOOKUP(D413,[1]apoio_Preços_MGS!$A$6:$AN$238,30,FALSE)</f>
        <v>2.8909090909090907</v>
      </c>
      <c r="Z413" s="40">
        <f t="shared" si="199"/>
        <v>62.558409090909088</v>
      </c>
      <c r="AA413" s="40">
        <f>VLOOKUP(D413,[1]apoio_Preços_MGS!$A$6:$AN$238,32,FALSE)</f>
        <v>5.4716257946304321</v>
      </c>
      <c r="AB413" s="40">
        <f>VLOOKUP(D413,[1]apoio_Preços_MGS!$A$6:$AN$238,33,FALSE)</f>
        <v>96.788494613583239</v>
      </c>
      <c r="AC413" s="41">
        <f>VLOOKUP(D413,[1]apoio_Preços_MGS!$A$6:$AN$238,34,FALSE)</f>
        <v>3.312705230825199E-2</v>
      </c>
      <c r="AD413" s="40">
        <f>(U413+W413+Z413+AB413+AA413+VLOOKUP(C413,[1]apoio_Prec_Folha!$A:$S,7,FALSE))*AC413</f>
        <v>196.54528509938893</v>
      </c>
      <c r="AE413" s="42">
        <f>VLOOKUP(D413,[1]apoio_Preços_MGS!$A$6:$AN$238,36,FALSE)</f>
        <v>7.0000000000000007E-2</v>
      </c>
      <c r="AF413" s="40">
        <f>(U413+W413+Z413+AB413+AD413+AA413+VLOOKUP(C413,[1]apoio_Prec_Folha!$A:$S,7,FALSE))*AE413</f>
        <v>429.07341832060501</v>
      </c>
      <c r="AG413" s="40">
        <f t="shared" si="200"/>
        <v>5971.38</v>
      </c>
      <c r="AH413" s="43">
        <f t="shared" si="201"/>
        <v>6766.4</v>
      </c>
      <c r="AI413" s="43">
        <f t="shared" si="202"/>
        <v>6766.4</v>
      </c>
      <c r="AJ413" s="43">
        <f t="shared" si="203"/>
        <v>405984</v>
      </c>
      <c r="AK413" s="44">
        <f>VLOOKUP(D413,[1]apoio_Preços_MGS!$A$6:$AN$238,39,FALSE)</f>
        <v>200.00000000000003</v>
      </c>
      <c r="AL413" s="44">
        <f>IF(J413="demais municípios",VLOOKUP(D413,[1]apoio_Preços_MGS!$A$6:$AN$238,39,FALSE),0)</f>
        <v>200.00000000000003</v>
      </c>
      <c r="AM413" s="44">
        <v>0</v>
      </c>
      <c r="AN413" s="45">
        <f t="shared" si="230"/>
        <v>200.00000000000003</v>
      </c>
      <c r="AO413" s="44">
        <f>VLOOKUP(D413,[1]apoio_Preços_MGS!$A$6:$AN$238,40,FALSE)</f>
        <v>587.30999999999995</v>
      </c>
      <c r="AP413" s="44">
        <f>IF(J413="demais municípios",VLOOKUP(D413,[1]apoio_Preços_MGS!$A$6:$AN$238,40,FALSE),0)</f>
        <v>587.30999999999995</v>
      </c>
      <c r="AQ413" s="44">
        <v>0</v>
      </c>
      <c r="AR413" s="45">
        <f t="shared" si="231"/>
        <v>587.30999999999995</v>
      </c>
      <c r="AS413" s="45">
        <f t="shared" si="220"/>
        <v>787.31</v>
      </c>
      <c r="AT413" s="45">
        <f t="shared" si="221"/>
        <v>47238.6</v>
      </c>
      <c r="AU413" s="62"/>
      <c r="AV413" s="46"/>
      <c r="AW413" s="47"/>
      <c r="AX413" s="48"/>
      <c r="AY413" s="49"/>
      <c r="BA413" s="48"/>
    </row>
    <row r="414" spans="1:53" ht="19.5" customHeight="1" x14ac:dyDescent="0.25">
      <c r="A414" s="33" t="str">
        <f t="shared" si="216"/>
        <v>63363440,03</v>
      </c>
      <c r="B414" s="33" t="str">
        <f t="shared" si="217"/>
        <v>940,03</v>
      </c>
      <c r="C414" s="34" t="str">
        <f>VLOOKUP(D414,[1]apoio_Preços_MGS!$A$6:$B$238,2,FALSE)</f>
        <v>MOTORISTA DE VEICULO DE SERVICO</v>
      </c>
      <c r="D414" s="35">
        <v>94</v>
      </c>
      <c r="E414" s="33" t="str">
        <f>VLOOKUP(D414,[1]apoio_Preços_MGS!$A$6:$F$238,6,FALSE)</f>
        <v>MOTORISTA DE VEICULO DE SERVICO - DIARISTA DIURNO - 44H</v>
      </c>
      <c r="F414" s="36">
        <f>IFERROR(VLOOKUP(D414,'[1]apoio_cód catmas'!$B$2:$C$863,2,FALSE),0)</f>
        <v>63363</v>
      </c>
      <c r="G414" s="33" t="str">
        <f>IF(H414="N/A",VLOOKUP(F414&amp;40,'[1]apoio_cód catmas'!$A$1:$G$233,4,FALSE),VLOOKUP(F414&amp;H414,'[1]apoio_cód catmas'!$A$1:$G$233,4,FALSE))</f>
        <v>MOTORISTA DE VEICULO DE SERVICO - 44H</v>
      </c>
      <c r="H414" s="36">
        <v>44</v>
      </c>
      <c r="I414" s="37">
        <v>0.03</v>
      </c>
      <c r="J414" s="38" t="s">
        <v>46</v>
      </c>
      <c r="K414" s="39">
        <f>163-7</f>
        <v>156</v>
      </c>
      <c r="L414" s="39">
        <f t="shared" si="196"/>
        <v>9360</v>
      </c>
      <c r="M414" s="40">
        <f>VLOOKUP(D414,[1]apoio_Preços_MGS!$A$6:$AN$238,18,FALSE)</f>
        <v>2849.8051013700169</v>
      </c>
      <c r="N414" s="40">
        <f>VLOOKUP(D414,[1]apoio_Preços_MGS!$A$6:$AN$238,19,FALSE)</f>
        <v>0</v>
      </c>
      <c r="O414" s="40">
        <f>VLOOKUP(D414,[1]apoio_Preços_MGS!$A$6:$AN$238,20,FALSE)</f>
        <v>0</v>
      </c>
      <c r="P414" s="40">
        <f>VLOOKUP(D414,[1]apoio_Preços_MGS!$A$6:$AN$238,21,FALSE)</f>
        <v>0</v>
      </c>
      <c r="Q414" s="40">
        <f>VLOOKUP(D414,[1]apoio_Preços_MGS!$A$6:$AN$238,22,FALSE)</f>
        <v>0</v>
      </c>
      <c r="R414" s="40">
        <f>VLOOKUP(D414,[1]apoio_Preços_MGS!$A$6:$AN$238,23,FALSE)</f>
        <v>0</v>
      </c>
      <c r="S414" s="40">
        <f>VLOOKUP(D414,[1]apoio_Preços_MGS!$A$6:$AN$238,24,FALSE)</f>
        <v>0</v>
      </c>
      <c r="T414" s="40">
        <f>VLOOKUP(D414,[1]apoio_Preços_MGS!$A$6:$AN$238,25,FALSE)</f>
        <v>0</v>
      </c>
      <c r="U414" s="40">
        <f t="shared" si="214"/>
        <v>2849.8051013700169</v>
      </c>
      <c r="V414" s="41">
        <v>0.81799999999999995</v>
      </c>
      <c r="W414" s="40">
        <f t="shared" si="215"/>
        <v>2331.1405729206735</v>
      </c>
      <c r="X414" s="40">
        <f>VLOOKUP(D414,[1]apoio_Preços_MGS!$A$6:$AN$238,29,FALSE)</f>
        <v>59.667499999999997</v>
      </c>
      <c r="Y414" s="40">
        <f>VLOOKUP(D414,[1]apoio_Preços_MGS!$A$6:$AN$238,30,FALSE)</f>
        <v>2.8909090909090907</v>
      </c>
      <c r="Z414" s="40">
        <f t="shared" si="199"/>
        <v>62.558409090909088</v>
      </c>
      <c r="AA414" s="40">
        <f>VLOOKUP(D414,[1]apoio_Preços_MGS!$A$6:$AN$238,32,FALSE)</f>
        <v>5.4716257946304321</v>
      </c>
      <c r="AB414" s="40">
        <f>VLOOKUP(D414,[1]apoio_Preços_MGS!$A$6:$AN$238,33,FALSE)</f>
        <v>96.788494613583239</v>
      </c>
      <c r="AC414" s="41">
        <f>VLOOKUP(D414,[1]apoio_Preços_MGS!$A$6:$AN$238,34,FALSE)</f>
        <v>3.312705230825199E-2</v>
      </c>
      <c r="AD414" s="40">
        <f>(U414+W414+Z414+AB414+AA414+VLOOKUP(C414,[1]apoio_Prec_Folha!$A:$S,7,FALSE))*AC414</f>
        <v>196.54528509938893</v>
      </c>
      <c r="AE414" s="42">
        <f>VLOOKUP(D414,[1]apoio_Preços_MGS!$A$6:$AN$238,36,FALSE)</f>
        <v>7.0000000000000007E-2</v>
      </c>
      <c r="AF414" s="40">
        <f>(U414+W414+Z414+AB414+AD414+AA414+VLOOKUP(C414,[1]apoio_Prec_Folha!$A:$S,7,FALSE))*AE414</f>
        <v>429.07341832060501</v>
      </c>
      <c r="AG414" s="40">
        <f t="shared" si="200"/>
        <v>5971.38</v>
      </c>
      <c r="AH414" s="43">
        <f t="shared" si="201"/>
        <v>6804.98</v>
      </c>
      <c r="AI414" s="43">
        <f t="shared" si="202"/>
        <v>1061576.8799999999</v>
      </c>
      <c r="AJ414" s="43">
        <f t="shared" si="203"/>
        <v>63694612.799999997</v>
      </c>
      <c r="AK414" s="44">
        <f>VLOOKUP(D414,[1]apoio_Preços_MGS!$A$6:$AN$238,39,FALSE)</f>
        <v>200.00000000000003</v>
      </c>
      <c r="AL414" s="44">
        <f>IF(J414="demais municípios",VLOOKUP(D414,[1]apoio_Preços_MGS!$A$6:$AN$238,39,FALSE),0)</f>
        <v>200.00000000000003</v>
      </c>
      <c r="AM414" s="44">
        <v>0</v>
      </c>
      <c r="AN414" s="45">
        <f t="shared" si="230"/>
        <v>31200.000000000004</v>
      </c>
      <c r="AO414" s="44">
        <f>VLOOKUP(D414,[1]apoio_Preços_MGS!$A$6:$AN$238,40,FALSE)</f>
        <v>587.30999999999995</v>
      </c>
      <c r="AP414" s="44">
        <f>IF(J414="demais municípios",VLOOKUP(D414,[1]apoio_Preços_MGS!$A$6:$AN$238,40,FALSE),0)</f>
        <v>587.30999999999995</v>
      </c>
      <c r="AQ414" s="44">
        <v>0</v>
      </c>
      <c r="AR414" s="45">
        <f t="shared" si="231"/>
        <v>91620.359999999986</v>
      </c>
      <c r="AS414" s="45">
        <f t="shared" si="220"/>
        <v>122820.35999999999</v>
      </c>
      <c r="AT414" s="45">
        <f t="shared" si="221"/>
        <v>7369221.5999999996</v>
      </c>
      <c r="AU414" s="62"/>
      <c r="AV414" s="46"/>
      <c r="AW414" s="47"/>
      <c r="AX414" s="48"/>
      <c r="AY414" s="49"/>
      <c r="BA414" s="48"/>
    </row>
    <row r="415" spans="1:53" ht="19.5" customHeight="1" x14ac:dyDescent="0.25">
      <c r="A415" s="33" t="str">
        <f t="shared" si="216"/>
        <v>63363440,03</v>
      </c>
      <c r="B415" s="33" t="str">
        <f t="shared" si="217"/>
        <v>940,03</v>
      </c>
      <c r="C415" s="34" t="str">
        <f>VLOOKUP(D415,[1]apoio_Preços_MGS!$A$6:$B$238,2,FALSE)</f>
        <v>MOTORISTA DE VEICULO DE SERVICO</v>
      </c>
      <c r="D415" s="35">
        <v>94</v>
      </c>
      <c r="E415" s="33" t="str">
        <f>VLOOKUP(D415,[1]apoio_Preços_MGS!$A$6:$F$238,6,FALSE)</f>
        <v>MOTORISTA DE VEICULO DE SERVICO - DIARISTA DIURNO - 44H</v>
      </c>
      <c r="F415" s="36">
        <f>IFERROR(VLOOKUP(D415,'[1]apoio_cód catmas'!$B$2:$C$863,2,FALSE),0)</f>
        <v>63363</v>
      </c>
      <c r="G415" s="33" t="str">
        <f>IF(H415="N/A",VLOOKUP(F415&amp;40,'[1]apoio_cód catmas'!$A$1:$G$233,4,FALSE),VLOOKUP(F415&amp;H415,'[1]apoio_cód catmas'!$A$1:$G$233,4,FALSE))</f>
        <v>MOTORISTA DE VEICULO DE SERVICO - 44H</v>
      </c>
      <c r="H415" s="36">
        <v>44</v>
      </c>
      <c r="I415" s="37">
        <v>0.03</v>
      </c>
      <c r="J415" s="38" t="s">
        <v>46</v>
      </c>
      <c r="K415" s="39">
        <v>1</v>
      </c>
      <c r="L415" s="39">
        <f>K415*56</f>
        <v>56</v>
      </c>
      <c r="M415" s="40">
        <f>VLOOKUP(D415,[1]apoio_Preços_MGS!$A$6:$AN$238,18,FALSE)</f>
        <v>2849.8051013700169</v>
      </c>
      <c r="N415" s="40">
        <f>VLOOKUP(D415,[1]apoio_Preços_MGS!$A$6:$AN$238,19,FALSE)</f>
        <v>0</v>
      </c>
      <c r="O415" s="40">
        <f>VLOOKUP(D415,[1]apoio_Preços_MGS!$A$6:$AN$238,20,FALSE)</f>
        <v>0</v>
      </c>
      <c r="P415" s="40">
        <f>VLOOKUP(D415,[1]apoio_Preços_MGS!$A$6:$AN$238,21,FALSE)</f>
        <v>0</v>
      </c>
      <c r="Q415" s="40">
        <f>VLOOKUP(D415,[1]apoio_Preços_MGS!$A$6:$AN$238,22,FALSE)</f>
        <v>0</v>
      </c>
      <c r="R415" s="40">
        <f>VLOOKUP(D415,[1]apoio_Preços_MGS!$A$6:$AN$238,23,FALSE)</f>
        <v>0</v>
      </c>
      <c r="S415" s="40">
        <f>VLOOKUP(D415,[1]apoio_Preços_MGS!$A$6:$AN$238,24,FALSE)</f>
        <v>0</v>
      </c>
      <c r="T415" s="40">
        <f>VLOOKUP(D415,[1]apoio_Preços_MGS!$A$6:$AN$238,25,FALSE)</f>
        <v>0</v>
      </c>
      <c r="U415" s="40">
        <f t="shared" si="214"/>
        <v>2849.8051013700169</v>
      </c>
      <c r="V415" s="41">
        <v>0.81799999999999995</v>
      </c>
      <c r="W415" s="40">
        <f t="shared" si="215"/>
        <v>2331.1405729206735</v>
      </c>
      <c r="X415" s="40">
        <f>VLOOKUP(D415,[1]apoio_Preços_MGS!$A$6:$AN$238,29,FALSE)</f>
        <v>59.667499999999997</v>
      </c>
      <c r="Y415" s="40">
        <f>VLOOKUP(D415,[1]apoio_Preços_MGS!$A$6:$AN$238,30,FALSE)</f>
        <v>2.8909090909090907</v>
      </c>
      <c r="Z415" s="40">
        <f t="shared" si="199"/>
        <v>62.558409090909088</v>
      </c>
      <c r="AA415" s="40">
        <f>VLOOKUP(D415,[1]apoio_Preços_MGS!$A$6:$AN$238,32,FALSE)</f>
        <v>5.4716257946304321</v>
      </c>
      <c r="AB415" s="40">
        <f>VLOOKUP(D415,[1]apoio_Preços_MGS!$A$6:$AN$238,33,FALSE)</f>
        <v>96.788494613583239</v>
      </c>
      <c r="AC415" s="41">
        <f>VLOOKUP(D415,[1]apoio_Preços_MGS!$A$6:$AN$238,34,FALSE)</f>
        <v>3.312705230825199E-2</v>
      </c>
      <c r="AD415" s="40">
        <f>(U415+W415+Z415+AB415+AA415+VLOOKUP(C415,[1]apoio_Prec_Folha!$A:$S,7,FALSE))*AC415</f>
        <v>196.54528509938893</v>
      </c>
      <c r="AE415" s="42">
        <f>VLOOKUP(D415,[1]apoio_Preços_MGS!$A$6:$AN$238,36,FALSE)</f>
        <v>7.0000000000000007E-2</v>
      </c>
      <c r="AF415" s="40">
        <f>(U415+W415+Z415+AB415+AD415+AA415+VLOOKUP(C415,[1]apoio_Prec_Folha!$A:$S,7,FALSE))*AE415</f>
        <v>429.07341832060501</v>
      </c>
      <c r="AG415" s="40">
        <f t="shared" si="200"/>
        <v>5971.38</v>
      </c>
      <c r="AH415" s="43">
        <f t="shared" si="201"/>
        <v>6804.98</v>
      </c>
      <c r="AI415" s="43">
        <f t="shared" si="202"/>
        <v>6804.98</v>
      </c>
      <c r="AJ415" s="43">
        <f t="shared" si="203"/>
        <v>381078.88</v>
      </c>
      <c r="AK415" s="44">
        <f>VLOOKUP(D415,[1]apoio_Preços_MGS!$A$6:$AN$238,39,FALSE)</f>
        <v>200.00000000000003</v>
      </c>
      <c r="AL415" s="44">
        <f>IF(J415="demais municípios",VLOOKUP(D415,[1]apoio_Preços_MGS!$A$6:$AN$238,39,FALSE),0)</f>
        <v>200.00000000000003</v>
      </c>
      <c r="AM415" s="44">
        <v>0</v>
      </c>
      <c r="AN415" s="45">
        <f t="shared" si="230"/>
        <v>200.00000000000003</v>
      </c>
      <c r="AO415" s="44">
        <f>VLOOKUP(D415,[1]apoio_Preços_MGS!$A$6:$AN$238,40,FALSE)</f>
        <v>587.30999999999995</v>
      </c>
      <c r="AP415" s="44">
        <f>IF(J415="demais municípios",VLOOKUP(D415,[1]apoio_Preços_MGS!$A$6:$AN$238,40,FALSE),0)</f>
        <v>587.30999999999995</v>
      </c>
      <c r="AQ415" s="44">
        <v>0</v>
      </c>
      <c r="AR415" s="45">
        <f t="shared" si="231"/>
        <v>587.30999999999995</v>
      </c>
      <c r="AS415" s="45">
        <f t="shared" si="220"/>
        <v>787.31</v>
      </c>
      <c r="AT415" s="45">
        <f t="shared" si="221"/>
        <v>47238.6</v>
      </c>
      <c r="AU415" s="62"/>
      <c r="AV415" s="46"/>
      <c r="AW415" s="47"/>
      <c r="AX415" s="48"/>
      <c r="AY415" s="49"/>
      <c r="BA415" s="48"/>
    </row>
    <row r="416" spans="1:53" ht="19.5" customHeight="1" x14ac:dyDescent="0.25">
      <c r="A416" s="33" t="str">
        <f t="shared" si="216"/>
        <v>63363440,035</v>
      </c>
      <c r="B416" s="33" t="str">
        <f t="shared" si="217"/>
        <v>940,035</v>
      </c>
      <c r="C416" s="34" t="str">
        <f>VLOOKUP(D416,[1]apoio_Preços_MGS!$A$6:$B$238,2,FALSE)</f>
        <v>MOTORISTA DE VEICULO DE SERVICO</v>
      </c>
      <c r="D416" s="35">
        <v>94</v>
      </c>
      <c r="E416" s="33" t="str">
        <f>VLOOKUP(D416,[1]apoio_Preços_MGS!$A$6:$F$238,6,FALSE)</f>
        <v>MOTORISTA DE VEICULO DE SERVICO - DIARISTA DIURNO - 44H</v>
      </c>
      <c r="F416" s="36">
        <f>IFERROR(VLOOKUP(D416,'[1]apoio_cód catmas'!$B$2:$C$863,2,FALSE),0)</f>
        <v>63363</v>
      </c>
      <c r="G416" s="33" t="str">
        <f>IF(H416="N/A",VLOOKUP(F416&amp;40,'[1]apoio_cód catmas'!$A$1:$G$233,4,FALSE),VLOOKUP(F416&amp;H416,'[1]apoio_cód catmas'!$A$1:$G$233,4,FALSE))</f>
        <v>MOTORISTA DE VEICULO DE SERVICO - 44H</v>
      </c>
      <c r="H416" s="36">
        <v>44</v>
      </c>
      <c r="I416" s="37">
        <v>3.5000000000000003E-2</v>
      </c>
      <c r="J416" s="38" t="s">
        <v>46</v>
      </c>
      <c r="K416" s="39">
        <v>20</v>
      </c>
      <c r="L416" s="39">
        <f t="shared" si="196"/>
        <v>1200</v>
      </c>
      <c r="M416" s="40">
        <f>VLOOKUP(D416,[1]apoio_Preços_MGS!$A$6:$AN$238,18,FALSE)</f>
        <v>2849.8051013700169</v>
      </c>
      <c r="N416" s="40">
        <f>VLOOKUP(D416,[1]apoio_Preços_MGS!$A$6:$AN$238,19,FALSE)</f>
        <v>0</v>
      </c>
      <c r="O416" s="40">
        <f>VLOOKUP(D416,[1]apoio_Preços_MGS!$A$6:$AN$238,20,FALSE)</f>
        <v>0</v>
      </c>
      <c r="P416" s="40">
        <f>VLOOKUP(D416,[1]apoio_Preços_MGS!$A$6:$AN$238,21,FALSE)</f>
        <v>0</v>
      </c>
      <c r="Q416" s="40">
        <f>VLOOKUP(D416,[1]apoio_Preços_MGS!$A$6:$AN$238,22,FALSE)</f>
        <v>0</v>
      </c>
      <c r="R416" s="40">
        <f>VLOOKUP(D416,[1]apoio_Preços_MGS!$A$6:$AN$238,23,FALSE)</f>
        <v>0</v>
      </c>
      <c r="S416" s="40">
        <f>VLOOKUP(D416,[1]apoio_Preços_MGS!$A$6:$AN$238,24,FALSE)</f>
        <v>0</v>
      </c>
      <c r="T416" s="40">
        <f>VLOOKUP(D416,[1]apoio_Preços_MGS!$A$6:$AN$238,25,FALSE)</f>
        <v>0</v>
      </c>
      <c r="U416" s="40">
        <f t="shared" si="214"/>
        <v>2849.8051013700169</v>
      </c>
      <c r="V416" s="41">
        <v>0.81799999999999995</v>
      </c>
      <c r="W416" s="40">
        <f t="shared" si="215"/>
        <v>2331.1405729206735</v>
      </c>
      <c r="X416" s="40">
        <f>VLOOKUP(D416,[1]apoio_Preços_MGS!$A$6:$AN$238,29,FALSE)</f>
        <v>59.667499999999997</v>
      </c>
      <c r="Y416" s="40">
        <f>VLOOKUP(D416,[1]apoio_Preços_MGS!$A$6:$AN$238,30,FALSE)</f>
        <v>2.8909090909090907</v>
      </c>
      <c r="Z416" s="40">
        <f t="shared" si="199"/>
        <v>62.558409090909088</v>
      </c>
      <c r="AA416" s="40">
        <f>VLOOKUP(D416,[1]apoio_Preços_MGS!$A$6:$AN$238,32,FALSE)</f>
        <v>5.4716257946304321</v>
      </c>
      <c r="AB416" s="40">
        <f>VLOOKUP(D416,[1]apoio_Preços_MGS!$A$6:$AN$238,33,FALSE)</f>
        <v>96.788494613583239</v>
      </c>
      <c r="AC416" s="41">
        <f>VLOOKUP(D416,[1]apoio_Preços_MGS!$A$6:$AN$238,34,FALSE)</f>
        <v>3.312705230825199E-2</v>
      </c>
      <c r="AD416" s="40">
        <f>(U416+W416+Z416+AB416+AA416+VLOOKUP(C416,[1]apoio_Prec_Folha!$A:$S,7,FALSE))*AC416</f>
        <v>196.54528509938893</v>
      </c>
      <c r="AE416" s="42">
        <f>VLOOKUP(D416,[1]apoio_Preços_MGS!$A$6:$AN$238,36,FALSE)</f>
        <v>7.0000000000000007E-2</v>
      </c>
      <c r="AF416" s="40">
        <f>(U416+W416+Z416+AB416+AD416+AA416+VLOOKUP(C416,[1]apoio_Prec_Folha!$A:$S,7,FALSE))*AE416</f>
        <v>429.07341832060501</v>
      </c>
      <c r="AG416" s="40">
        <f t="shared" si="200"/>
        <v>5971.38</v>
      </c>
      <c r="AH416" s="43">
        <f t="shared" si="201"/>
        <v>6843.97</v>
      </c>
      <c r="AI416" s="43">
        <f t="shared" si="202"/>
        <v>136879.4</v>
      </c>
      <c r="AJ416" s="43">
        <f t="shared" si="203"/>
        <v>8212764</v>
      </c>
      <c r="AK416" s="44">
        <f>VLOOKUP(D416,[1]apoio_Preços_MGS!$A$6:$AN$238,39,FALSE)</f>
        <v>200.00000000000003</v>
      </c>
      <c r="AL416" s="44">
        <f>IF(J416="demais municípios",VLOOKUP(D416,[1]apoio_Preços_MGS!$A$6:$AN$238,39,FALSE),0)</f>
        <v>200.00000000000003</v>
      </c>
      <c r="AM416" s="44">
        <v>0</v>
      </c>
      <c r="AN416" s="45">
        <f t="shared" si="230"/>
        <v>4000.0000000000005</v>
      </c>
      <c r="AO416" s="44">
        <f>VLOOKUP(D416,[1]apoio_Preços_MGS!$A$6:$AN$238,40,FALSE)</f>
        <v>587.30999999999995</v>
      </c>
      <c r="AP416" s="44">
        <f>IF(J416="demais municípios",VLOOKUP(D416,[1]apoio_Preços_MGS!$A$6:$AN$238,40,FALSE),0)</f>
        <v>587.30999999999995</v>
      </c>
      <c r="AQ416" s="44">
        <v>0</v>
      </c>
      <c r="AR416" s="45">
        <f t="shared" si="231"/>
        <v>11746.199999999999</v>
      </c>
      <c r="AS416" s="45">
        <f t="shared" si="220"/>
        <v>15746.199999999999</v>
      </c>
      <c r="AT416" s="45">
        <f t="shared" si="221"/>
        <v>944771.99999999988</v>
      </c>
      <c r="AU416" s="62"/>
      <c r="AV416" s="46"/>
      <c r="AW416" s="47"/>
      <c r="AX416" s="48"/>
      <c r="AY416" s="49"/>
      <c r="BA416" s="48"/>
    </row>
    <row r="417" spans="1:53" ht="19.5" customHeight="1" x14ac:dyDescent="0.25">
      <c r="A417" s="33" t="str">
        <f t="shared" si="216"/>
        <v>63363440,038</v>
      </c>
      <c r="B417" s="33" t="str">
        <f t="shared" si="217"/>
        <v>940,038</v>
      </c>
      <c r="C417" s="34" t="str">
        <f>VLOOKUP(D417,[1]apoio_Preços_MGS!$A$6:$B$238,2,FALSE)</f>
        <v>MOTORISTA DE VEICULO DE SERVICO</v>
      </c>
      <c r="D417" s="35">
        <v>94</v>
      </c>
      <c r="E417" s="33" t="str">
        <f>VLOOKUP(D417,[1]apoio_Preços_MGS!$A$6:$F$238,6,FALSE)</f>
        <v>MOTORISTA DE VEICULO DE SERVICO - DIARISTA DIURNO - 44H</v>
      </c>
      <c r="F417" s="36">
        <f>IFERROR(VLOOKUP(D417,'[1]apoio_cód catmas'!$B$2:$C$863,2,FALSE),0)</f>
        <v>63363</v>
      </c>
      <c r="G417" s="33" t="str">
        <f>IF(H417="N/A",VLOOKUP(F417&amp;40,'[1]apoio_cód catmas'!$A$1:$G$233,4,FALSE),VLOOKUP(F417&amp;H417,'[1]apoio_cód catmas'!$A$1:$G$233,4,FALSE))</f>
        <v>MOTORISTA DE VEICULO DE SERVICO - 44H</v>
      </c>
      <c r="H417" s="36">
        <v>44</v>
      </c>
      <c r="I417" s="37">
        <v>3.7999999999999999E-2</v>
      </c>
      <c r="J417" s="38" t="s">
        <v>46</v>
      </c>
      <c r="K417" s="39">
        <v>2</v>
      </c>
      <c r="L417" s="39">
        <f t="shared" si="196"/>
        <v>120</v>
      </c>
      <c r="M417" s="40">
        <f>VLOOKUP(D417,[1]apoio_Preços_MGS!$A$6:$AN$238,18,FALSE)</f>
        <v>2849.8051013700169</v>
      </c>
      <c r="N417" s="40">
        <f>VLOOKUP(D417,[1]apoio_Preços_MGS!$A$6:$AN$238,19,FALSE)</f>
        <v>0</v>
      </c>
      <c r="O417" s="40">
        <f>VLOOKUP(D417,[1]apoio_Preços_MGS!$A$6:$AN$238,20,FALSE)</f>
        <v>0</v>
      </c>
      <c r="P417" s="40">
        <f>VLOOKUP(D417,[1]apoio_Preços_MGS!$A$6:$AN$238,21,FALSE)</f>
        <v>0</v>
      </c>
      <c r="Q417" s="40">
        <f>VLOOKUP(D417,[1]apoio_Preços_MGS!$A$6:$AN$238,22,FALSE)</f>
        <v>0</v>
      </c>
      <c r="R417" s="40">
        <f>VLOOKUP(D417,[1]apoio_Preços_MGS!$A$6:$AN$238,23,FALSE)</f>
        <v>0</v>
      </c>
      <c r="S417" s="40">
        <f>VLOOKUP(D417,[1]apoio_Preços_MGS!$A$6:$AN$238,24,FALSE)</f>
        <v>0</v>
      </c>
      <c r="T417" s="40">
        <f>VLOOKUP(D417,[1]apoio_Preços_MGS!$A$6:$AN$238,25,FALSE)</f>
        <v>0</v>
      </c>
      <c r="U417" s="40">
        <f t="shared" si="214"/>
        <v>2849.8051013700169</v>
      </c>
      <c r="V417" s="41">
        <v>0.81799999999999995</v>
      </c>
      <c r="W417" s="40">
        <f t="shared" si="215"/>
        <v>2331.1405729206735</v>
      </c>
      <c r="X417" s="40">
        <f>VLOOKUP(D417,[1]apoio_Preços_MGS!$A$6:$AN$238,29,FALSE)</f>
        <v>59.667499999999997</v>
      </c>
      <c r="Y417" s="40">
        <f>VLOOKUP(D417,[1]apoio_Preços_MGS!$A$6:$AN$238,30,FALSE)</f>
        <v>2.8909090909090907</v>
      </c>
      <c r="Z417" s="40">
        <f t="shared" si="199"/>
        <v>62.558409090909088</v>
      </c>
      <c r="AA417" s="40">
        <f>VLOOKUP(D417,[1]apoio_Preços_MGS!$A$6:$AN$238,32,FALSE)</f>
        <v>5.4716257946304321</v>
      </c>
      <c r="AB417" s="40">
        <f>VLOOKUP(D417,[1]apoio_Preços_MGS!$A$6:$AN$238,33,FALSE)</f>
        <v>96.788494613583239</v>
      </c>
      <c r="AC417" s="41">
        <f>VLOOKUP(D417,[1]apoio_Preços_MGS!$A$6:$AN$238,34,FALSE)</f>
        <v>3.312705230825199E-2</v>
      </c>
      <c r="AD417" s="40">
        <f>(U417+W417+Z417+AB417+AA417+VLOOKUP(C417,[1]apoio_Prec_Folha!$A:$S,7,FALSE))*AC417</f>
        <v>196.54528509938893</v>
      </c>
      <c r="AE417" s="42">
        <f>VLOOKUP(D417,[1]apoio_Preços_MGS!$A$6:$AN$238,36,FALSE)</f>
        <v>7.0000000000000007E-2</v>
      </c>
      <c r="AF417" s="40">
        <f>(U417+W417+Z417+AB417+AD417+AA417+VLOOKUP(C417,[1]apoio_Prec_Folha!$A:$S,7,FALSE))*AE417</f>
        <v>429.07341832060501</v>
      </c>
      <c r="AG417" s="40">
        <f t="shared" si="200"/>
        <v>5971.38</v>
      </c>
      <c r="AH417" s="43">
        <f t="shared" si="201"/>
        <v>6867.62</v>
      </c>
      <c r="AI417" s="43">
        <f t="shared" si="202"/>
        <v>13735.24</v>
      </c>
      <c r="AJ417" s="43">
        <f t="shared" si="203"/>
        <v>824114.4</v>
      </c>
      <c r="AK417" s="44">
        <f>VLOOKUP(D417,[1]apoio_Preços_MGS!$A$6:$AN$238,39,FALSE)</f>
        <v>200.00000000000003</v>
      </c>
      <c r="AL417" s="44">
        <f>IF(J417="demais municípios",VLOOKUP(D417,[1]apoio_Preços_MGS!$A$6:$AN$238,39,FALSE),0)</f>
        <v>200.00000000000003</v>
      </c>
      <c r="AM417" s="44">
        <v>0</v>
      </c>
      <c r="AN417" s="45">
        <f t="shared" si="230"/>
        <v>400.00000000000006</v>
      </c>
      <c r="AO417" s="44">
        <f>VLOOKUP(D417,[1]apoio_Preços_MGS!$A$6:$AN$238,40,FALSE)</f>
        <v>587.30999999999995</v>
      </c>
      <c r="AP417" s="44">
        <f>IF(J417="demais municípios",VLOOKUP(D417,[1]apoio_Preços_MGS!$A$6:$AN$238,40,FALSE),0)</f>
        <v>587.30999999999995</v>
      </c>
      <c r="AQ417" s="44">
        <v>0</v>
      </c>
      <c r="AR417" s="45">
        <f t="shared" si="231"/>
        <v>1174.6199999999999</v>
      </c>
      <c r="AS417" s="45">
        <f t="shared" si="220"/>
        <v>1574.62</v>
      </c>
      <c r="AT417" s="45">
        <f t="shared" si="221"/>
        <v>94477.2</v>
      </c>
      <c r="AU417" s="62"/>
      <c r="AV417" s="46"/>
      <c r="AW417" s="47"/>
      <c r="AX417" s="48"/>
      <c r="AY417" s="49"/>
      <c r="BA417" s="48"/>
    </row>
    <row r="418" spans="1:53" ht="19.5" customHeight="1" x14ac:dyDescent="0.25">
      <c r="A418" s="33" t="str">
        <f t="shared" si="216"/>
        <v>63363440,04</v>
      </c>
      <c r="B418" s="33" t="str">
        <f t="shared" si="217"/>
        <v>940,04</v>
      </c>
      <c r="C418" s="34" t="str">
        <f>VLOOKUP(D418,[1]apoio_Preços_MGS!$A$6:$B$238,2,FALSE)</f>
        <v>MOTORISTA DE VEICULO DE SERVICO</v>
      </c>
      <c r="D418" s="35">
        <v>94</v>
      </c>
      <c r="E418" s="33" t="str">
        <f>VLOOKUP(D418,[1]apoio_Preços_MGS!$A$6:$F$238,6,FALSE)</f>
        <v>MOTORISTA DE VEICULO DE SERVICO - DIARISTA DIURNO - 44H</v>
      </c>
      <c r="F418" s="36">
        <f>IFERROR(VLOOKUP(D418,'[1]apoio_cód catmas'!$B$2:$C$863,2,FALSE),0)</f>
        <v>63363</v>
      </c>
      <c r="G418" s="33" t="str">
        <f>IF(H418="N/A",VLOOKUP(F418&amp;40,'[1]apoio_cód catmas'!$A$1:$G$233,4,FALSE),VLOOKUP(F418&amp;H418,'[1]apoio_cód catmas'!$A$1:$G$233,4,FALSE))</f>
        <v>MOTORISTA DE VEICULO DE SERVICO - 44H</v>
      </c>
      <c r="H418" s="36">
        <v>44</v>
      </c>
      <c r="I418" s="37">
        <v>0.04</v>
      </c>
      <c r="J418" s="38" t="s">
        <v>46</v>
      </c>
      <c r="K418" s="39">
        <v>32</v>
      </c>
      <c r="L418" s="39">
        <f t="shared" si="196"/>
        <v>1920</v>
      </c>
      <c r="M418" s="40">
        <f>VLOOKUP(D418,[1]apoio_Preços_MGS!$A$6:$AN$238,18,FALSE)</f>
        <v>2849.8051013700169</v>
      </c>
      <c r="N418" s="40">
        <f>VLOOKUP(D418,[1]apoio_Preços_MGS!$A$6:$AN$238,19,FALSE)</f>
        <v>0</v>
      </c>
      <c r="O418" s="40">
        <f>VLOOKUP(D418,[1]apoio_Preços_MGS!$A$6:$AN$238,20,FALSE)</f>
        <v>0</v>
      </c>
      <c r="P418" s="40">
        <f>VLOOKUP(D418,[1]apoio_Preços_MGS!$A$6:$AN$238,21,FALSE)</f>
        <v>0</v>
      </c>
      <c r="Q418" s="40">
        <f>VLOOKUP(D418,[1]apoio_Preços_MGS!$A$6:$AN$238,22,FALSE)</f>
        <v>0</v>
      </c>
      <c r="R418" s="40">
        <f>VLOOKUP(D418,[1]apoio_Preços_MGS!$A$6:$AN$238,23,FALSE)</f>
        <v>0</v>
      </c>
      <c r="S418" s="40">
        <f>VLOOKUP(D418,[1]apoio_Preços_MGS!$A$6:$AN$238,24,FALSE)</f>
        <v>0</v>
      </c>
      <c r="T418" s="40">
        <f>VLOOKUP(D418,[1]apoio_Preços_MGS!$A$6:$AN$238,25,FALSE)</f>
        <v>0</v>
      </c>
      <c r="U418" s="40">
        <f t="shared" si="214"/>
        <v>2849.8051013700169</v>
      </c>
      <c r="V418" s="41">
        <v>0.81799999999999995</v>
      </c>
      <c r="W418" s="40">
        <f t="shared" si="215"/>
        <v>2331.1405729206735</v>
      </c>
      <c r="X418" s="40">
        <f>VLOOKUP(D418,[1]apoio_Preços_MGS!$A$6:$AN$238,29,FALSE)</f>
        <v>59.667499999999997</v>
      </c>
      <c r="Y418" s="40">
        <f>VLOOKUP(D418,[1]apoio_Preços_MGS!$A$6:$AN$238,30,FALSE)</f>
        <v>2.8909090909090907</v>
      </c>
      <c r="Z418" s="40">
        <f t="shared" si="199"/>
        <v>62.558409090909088</v>
      </c>
      <c r="AA418" s="40">
        <f>VLOOKUP(D418,[1]apoio_Preços_MGS!$A$6:$AN$238,32,FALSE)</f>
        <v>5.4716257946304321</v>
      </c>
      <c r="AB418" s="40">
        <f>VLOOKUP(D418,[1]apoio_Preços_MGS!$A$6:$AN$238,33,FALSE)</f>
        <v>96.788494613583239</v>
      </c>
      <c r="AC418" s="41">
        <f>VLOOKUP(D418,[1]apoio_Preços_MGS!$A$6:$AN$238,34,FALSE)</f>
        <v>3.312705230825199E-2</v>
      </c>
      <c r="AD418" s="40">
        <f>(U418+W418+Z418+AB418+AA418+VLOOKUP(C418,[1]apoio_Prec_Folha!$A:$S,7,FALSE))*AC418</f>
        <v>196.54528509938893</v>
      </c>
      <c r="AE418" s="42">
        <f>VLOOKUP(D418,[1]apoio_Preços_MGS!$A$6:$AN$238,36,FALSE)</f>
        <v>7.0000000000000007E-2</v>
      </c>
      <c r="AF418" s="40">
        <f>(U418+W418+Z418+AB418+AD418+AA418+VLOOKUP(C418,[1]apoio_Prec_Folha!$A:$S,7,FALSE))*AE418</f>
        <v>429.07341832060501</v>
      </c>
      <c r="AG418" s="40">
        <f t="shared" si="200"/>
        <v>5971.38</v>
      </c>
      <c r="AH418" s="43">
        <f t="shared" si="201"/>
        <v>6883.44</v>
      </c>
      <c r="AI418" s="43">
        <f t="shared" si="202"/>
        <v>220270.07999999999</v>
      </c>
      <c r="AJ418" s="43">
        <f t="shared" si="203"/>
        <v>13216204.799999999</v>
      </c>
      <c r="AK418" s="44">
        <f>VLOOKUP(D418,[1]apoio_Preços_MGS!$A$6:$AN$238,39,FALSE)</f>
        <v>200.00000000000003</v>
      </c>
      <c r="AL418" s="44">
        <f>IF(J418="demais municípios",VLOOKUP(D418,[1]apoio_Preços_MGS!$A$6:$AN$238,39,FALSE),0)</f>
        <v>200.00000000000003</v>
      </c>
      <c r="AM418" s="44">
        <v>0</v>
      </c>
      <c r="AN418" s="45">
        <f t="shared" si="230"/>
        <v>6400.0000000000009</v>
      </c>
      <c r="AO418" s="44">
        <f>VLOOKUP(D418,[1]apoio_Preços_MGS!$A$6:$AN$238,40,FALSE)</f>
        <v>587.30999999999995</v>
      </c>
      <c r="AP418" s="44">
        <f>IF(J418="demais municípios",VLOOKUP(D418,[1]apoio_Preços_MGS!$A$6:$AN$238,40,FALSE),0)</f>
        <v>587.30999999999995</v>
      </c>
      <c r="AQ418" s="44">
        <v>0</v>
      </c>
      <c r="AR418" s="45">
        <f t="shared" si="231"/>
        <v>18793.919999999998</v>
      </c>
      <c r="AS418" s="45">
        <f t="shared" si="220"/>
        <v>25193.919999999998</v>
      </c>
      <c r="AT418" s="45">
        <f t="shared" si="221"/>
        <v>1511635.2</v>
      </c>
      <c r="AU418" s="62"/>
      <c r="AV418" s="46"/>
      <c r="AW418" s="47"/>
      <c r="AX418" s="48"/>
      <c r="AY418" s="49"/>
      <c r="BA418" s="48"/>
    </row>
    <row r="419" spans="1:53" ht="19.5" customHeight="1" x14ac:dyDescent="0.25">
      <c r="A419" s="33" t="str">
        <f t="shared" si="216"/>
        <v>63363440,05</v>
      </c>
      <c r="B419" s="33" t="str">
        <f t="shared" si="217"/>
        <v>940,05</v>
      </c>
      <c r="C419" s="34" t="str">
        <f>VLOOKUP(D419,[1]apoio_Preços_MGS!$A$6:$B$238,2,FALSE)</f>
        <v>MOTORISTA DE VEICULO DE SERVICO</v>
      </c>
      <c r="D419" s="35">
        <v>94</v>
      </c>
      <c r="E419" s="33" t="str">
        <f>VLOOKUP(D419,[1]apoio_Preços_MGS!$A$6:$F$238,6,FALSE)</f>
        <v>MOTORISTA DE VEICULO DE SERVICO - DIARISTA DIURNO - 44H</v>
      </c>
      <c r="F419" s="36">
        <f>IFERROR(VLOOKUP(D419,'[1]apoio_cód catmas'!$B$2:$C$863,2,FALSE),0)</f>
        <v>63363</v>
      </c>
      <c r="G419" s="33" t="str">
        <f>IF(H419="N/A",VLOOKUP(F419&amp;40,'[1]apoio_cód catmas'!$A$1:$G$233,4,FALSE),VLOOKUP(F419&amp;H419,'[1]apoio_cód catmas'!$A$1:$G$233,4,FALSE))</f>
        <v>MOTORISTA DE VEICULO DE SERVICO - 44H</v>
      </c>
      <c r="H419" s="36">
        <v>44</v>
      </c>
      <c r="I419" s="37">
        <v>0.05</v>
      </c>
      <c r="J419" s="38" t="s">
        <v>46</v>
      </c>
      <c r="K419" s="39">
        <v>7</v>
      </c>
      <c r="L419" s="39">
        <f>K419*56</f>
        <v>392</v>
      </c>
      <c r="M419" s="40">
        <f>VLOOKUP(D419,[1]apoio_Preços_MGS!$A$6:$AN$238,18,FALSE)</f>
        <v>2849.8051013700169</v>
      </c>
      <c r="N419" s="40">
        <f>VLOOKUP(D419,[1]apoio_Preços_MGS!$A$6:$AN$238,19,FALSE)</f>
        <v>0</v>
      </c>
      <c r="O419" s="40">
        <f>VLOOKUP(D419,[1]apoio_Preços_MGS!$A$6:$AN$238,20,FALSE)</f>
        <v>0</v>
      </c>
      <c r="P419" s="40">
        <f>VLOOKUP(D419,[1]apoio_Preços_MGS!$A$6:$AN$238,21,FALSE)</f>
        <v>0</v>
      </c>
      <c r="Q419" s="40">
        <f>VLOOKUP(D419,[1]apoio_Preços_MGS!$A$6:$AN$238,22,FALSE)</f>
        <v>0</v>
      </c>
      <c r="R419" s="40">
        <f>VLOOKUP(D419,[1]apoio_Preços_MGS!$A$6:$AN$238,23,FALSE)</f>
        <v>0</v>
      </c>
      <c r="S419" s="40">
        <f>VLOOKUP(D419,[1]apoio_Preços_MGS!$A$6:$AN$238,24,FALSE)</f>
        <v>0</v>
      </c>
      <c r="T419" s="40">
        <f>VLOOKUP(D419,[1]apoio_Preços_MGS!$A$6:$AN$238,25,FALSE)</f>
        <v>0</v>
      </c>
      <c r="U419" s="40">
        <f t="shared" si="214"/>
        <v>2849.8051013700169</v>
      </c>
      <c r="V419" s="41">
        <v>0.81799999999999995</v>
      </c>
      <c r="W419" s="40">
        <f t="shared" si="215"/>
        <v>2331.1405729206735</v>
      </c>
      <c r="X419" s="40">
        <f>VLOOKUP(D419,[1]apoio_Preços_MGS!$A$6:$AN$238,29,FALSE)</f>
        <v>59.667499999999997</v>
      </c>
      <c r="Y419" s="40">
        <f>VLOOKUP(D419,[1]apoio_Preços_MGS!$A$6:$AN$238,30,FALSE)</f>
        <v>2.8909090909090907</v>
      </c>
      <c r="Z419" s="40">
        <f t="shared" si="199"/>
        <v>62.558409090909088</v>
      </c>
      <c r="AA419" s="40">
        <f>VLOOKUP(D419,[1]apoio_Preços_MGS!$A$6:$AN$238,32,FALSE)</f>
        <v>5.4716257946304321</v>
      </c>
      <c r="AB419" s="40">
        <f>VLOOKUP(D419,[1]apoio_Preços_MGS!$A$6:$AN$238,33,FALSE)</f>
        <v>96.788494613583239</v>
      </c>
      <c r="AC419" s="41">
        <f>VLOOKUP(D419,[1]apoio_Preços_MGS!$A$6:$AN$238,34,FALSE)</f>
        <v>3.312705230825199E-2</v>
      </c>
      <c r="AD419" s="40">
        <f>(U419+W419+Z419+AB419+AA419+VLOOKUP(C419,[1]apoio_Prec_Folha!$A:$S,7,FALSE))*AC419</f>
        <v>196.54528509938893</v>
      </c>
      <c r="AE419" s="42">
        <f>VLOOKUP(D419,[1]apoio_Preços_MGS!$A$6:$AN$238,36,FALSE)</f>
        <v>7.0000000000000007E-2</v>
      </c>
      <c r="AF419" s="40">
        <f>(U419+W419+Z419+AB419+AD419+AA419+VLOOKUP(C419,[1]apoio_Prec_Folha!$A:$S,7,FALSE))*AE419</f>
        <v>429.07341832060501</v>
      </c>
      <c r="AG419" s="40">
        <f t="shared" si="200"/>
        <v>5971.38</v>
      </c>
      <c r="AH419" s="43">
        <f t="shared" si="201"/>
        <v>6963.7</v>
      </c>
      <c r="AI419" s="43">
        <f t="shared" si="202"/>
        <v>48745.9</v>
      </c>
      <c r="AJ419" s="43">
        <f t="shared" si="203"/>
        <v>2729770.4</v>
      </c>
      <c r="AK419" s="44">
        <f>VLOOKUP(D419,[1]apoio_Preços_MGS!$A$6:$AN$238,39,FALSE)</f>
        <v>200.00000000000003</v>
      </c>
      <c r="AL419" s="44">
        <f>IF(J419="demais municípios",VLOOKUP(D419,[1]apoio_Preços_MGS!$A$6:$AN$238,39,FALSE),0)</f>
        <v>200.00000000000003</v>
      </c>
      <c r="AM419" s="44">
        <v>0</v>
      </c>
      <c r="AN419" s="45">
        <f t="shared" si="230"/>
        <v>1400.0000000000002</v>
      </c>
      <c r="AO419" s="44">
        <f>VLOOKUP(D419,[1]apoio_Preços_MGS!$A$6:$AN$238,40,FALSE)</f>
        <v>587.30999999999995</v>
      </c>
      <c r="AP419" s="44">
        <f>IF(J419="demais municípios",VLOOKUP(D419,[1]apoio_Preços_MGS!$A$6:$AN$238,40,FALSE),0)</f>
        <v>587.30999999999995</v>
      </c>
      <c r="AQ419" s="44">
        <v>0</v>
      </c>
      <c r="AR419" s="45">
        <f t="shared" si="231"/>
        <v>4111.17</v>
      </c>
      <c r="AS419" s="45">
        <f t="shared" si="220"/>
        <v>5511.17</v>
      </c>
      <c r="AT419" s="45">
        <f t="shared" si="221"/>
        <v>330670.2</v>
      </c>
      <c r="AU419" s="62"/>
      <c r="AV419" s="46"/>
      <c r="AW419" s="47"/>
      <c r="AX419" s="48"/>
      <c r="AY419" s="49"/>
      <c r="BA419" s="48"/>
    </row>
    <row r="420" spans="1:53" ht="19.5" customHeight="1" x14ac:dyDescent="0.25">
      <c r="A420" s="33" t="str">
        <f t="shared" si="216"/>
        <v>63363440,05</v>
      </c>
      <c r="B420" s="33" t="str">
        <f t="shared" si="217"/>
        <v>940,05</v>
      </c>
      <c r="C420" s="34" t="str">
        <f>VLOOKUP(D420,[1]apoio_Preços_MGS!$A$6:$B$238,2,FALSE)</f>
        <v>MOTORISTA DE VEICULO DE SERVICO</v>
      </c>
      <c r="D420" s="35">
        <v>94</v>
      </c>
      <c r="E420" s="33" t="str">
        <f>VLOOKUP(D420,[1]apoio_Preços_MGS!$A$6:$F$238,6,FALSE)</f>
        <v>MOTORISTA DE VEICULO DE SERVICO - DIARISTA DIURNO - 44H</v>
      </c>
      <c r="F420" s="36">
        <f>IFERROR(VLOOKUP(D420,'[1]apoio_cód catmas'!$B$2:$C$863,2,FALSE),0)</f>
        <v>63363</v>
      </c>
      <c r="G420" s="33" t="str">
        <f>IF(H420="N/A",VLOOKUP(F420&amp;40,'[1]apoio_cód catmas'!$A$1:$G$233,4,FALSE),VLOOKUP(F420&amp;H420,'[1]apoio_cód catmas'!$A$1:$G$233,4,FALSE))</f>
        <v>MOTORISTA DE VEICULO DE SERVICO - 44H</v>
      </c>
      <c r="H420" s="36">
        <v>44</v>
      </c>
      <c r="I420" s="37">
        <v>0.05</v>
      </c>
      <c r="J420" s="38" t="s">
        <v>46</v>
      </c>
      <c r="K420" s="39">
        <f>385-K421-1</f>
        <v>47</v>
      </c>
      <c r="L420" s="39">
        <f t="shared" si="196"/>
        <v>2820</v>
      </c>
      <c r="M420" s="40">
        <f>VLOOKUP(D420,[1]apoio_Preços_MGS!$A$6:$AN$238,18,FALSE)</f>
        <v>2849.8051013700169</v>
      </c>
      <c r="N420" s="40">
        <f>VLOOKUP(D420,[1]apoio_Preços_MGS!$A$6:$AN$238,19,FALSE)</f>
        <v>0</v>
      </c>
      <c r="O420" s="40">
        <f>VLOOKUP(D420,[1]apoio_Preços_MGS!$A$6:$AN$238,20,FALSE)</f>
        <v>0</v>
      </c>
      <c r="P420" s="40">
        <f>VLOOKUP(D420,[1]apoio_Preços_MGS!$A$6:$AN$238,21,FALSE)</f>
        <v>0</v>
      </c>
      <c r="Q420" s="40">
        <f>VLOOKUP(D420,[1]apoio_Preços_MGS!$A$6:$AN$238,22,FALSE)</f>
        <v>0</v>
      </c>
      <c r="R420" s="40">
        <f>VLOOKUP(D420,[1]apoio_Preços_MGS!$A$6:$AN$238,23,FALSE)</f>
        <v>0</v>
      </c>
      <c r="S420" s="40">
        <f>VLOOKUP(D420,[1]apoio_Preços_MGS!$A$6:$AN$238,24,FALSE)</f>
        <v>0</v>
      </c>
      <c r="T420" s="40">
        <f>VLOOKUP(D420,[1]apoio_Preços_MGS!$A$6:$AN$238,25,FALSE)</f>
        <v>0</v>
      </c>
      <c r="U420" s="40">
        <f t="shared" si="214"/>
        <v>2849.8051013700169</v>
      </c>
      <c r="V420" s="41">
        <v>0.81799999999999995</v>
      </c>
      <c r="W420" s="40">
        <f t="shared" si="215"/>
        <v>2331.1405729206735</v>
      </c>
      <c r="X420" s="40">
        <f>VLOOKUP(D420,[1]apoio_Preços_MGS!$A$6:$AN$238,29,FALSE)</f>
        <v>59.667499999999997</v>
      </c>
      <c r="Y420" s="40">
        <f>VLOOKUP(D420,[1]apoio_Preços_MGS!$A$6:$AN$238,30,FALSE)</f>
        <v>2.8909090909090907</v>
      </c>
      <c r="Z420" s="40">
        <f t="shared" si="199"/>
        <v>62.558409090909088</v>
      </c>
      <c r="AA420" s="40">
        <f>VLOOKUP(D420,[1]apoio_Preços_MGS!$A$6:$AN$238,32,FALSE)</f>
        <v>5.4716257946304321</v>
      </c>
      <c r="AB420" s="40">
        <f>VLOOKUP(D420,[1]apoio_Preços_MGS!$A$6:$AN$238,33,FALSE)</f>
        <v>96.788494613583239</v>
      </c>
      <c r="AC420" s="41">
        <f>VLOOKUP(D420,[1]apoio_Preços_MGS!$A$6:$AN$238,34,FALSE)</f>
        <v>3.312705230825199E-2</v>
      </c>
      <c r="AD420" s="40">
        <f>(U420+W420+Z420+AB420+AA420+VLOOKUP(C420,[1]apoio_Prec_Folha!$A:$S,7,FALSE))*AC420</f>
        <v>196.54528509938893</v>
      </c>
      <c r="AE420" s="42">
        <f>VLOOKUP(D420,[1]apoio_Preços_MGS!$A$6:$AN$238,36,FALSE)</f>
        <v>7.0000000000000007E-2</v>
      </c>
      <c r="AF420" s="40">
        <f>(U420+W420+Z420+AB420+AD420+AA420+VLOOKUP(C420,[1]apoio_Prec_Folha!$A:$S,7,FALSE))*AE420</f>
        <v>429.07341832060501</v>
      </c>
      <c r="AG420" s="40">
        <f t="shared" si="200"/>
        <v>5971.38</v>
      </c>
      <c r="AH420" s="43">
        <f t="shared" si="201"/>
        <v>6963.7</v>
      </c>
      <c r="AI420" s="43">
        <f t="shared" si="202"/>
        <v>327293.89999999997</v>
      </c>
      <c r="AJ420" s="43">
        <f t="shared" si="203"/>
        <v>19637634</v>
      </c>
      <c r="AK420" s="44">
        <f>VLOOKUP(D420,[1]apoio_Preços_MGS!$A$6:$AN$238,39,FALSE)</f>
        <v>200.00000000000003</v>
      </c>
      <c r="AL420" s="44">
        <f>IF(J420="demais municípios",VLOOKUP(D420,[1]apoio_Preços_MGS!$A$6:$AN$238,39,FALSE),0)</f>
        <v>200.00000000000003</v>
      </c>
      <c r="AM420" s="44">
        <v>0</v>
      </c>
      <c r="AN420" s="45">
        <f t="shared" si="230"/>
        <v>9400.0000000000018</v>
      </c>
      <c r="AO420" s="44">
        <f>VLOOKUP(D420,[1]apoio_Preços_MGS!$A$6:$AN$238,40,FALSE)</f>
        <v>587.30999999999995</v>
      </c>
      <c r="AP420" s="44">
        <f>IF(J420="demais municípios",VLOOKUP(D420,[1]apoio_Preços_MGS!$A$6:$AN$238,40,FALSE),0)</f>
        <v>587.30999999999995</v>
      </c>
      <c r="AQ420" s="44">
        <v>0</v>
      </c>
      <c r="AR420" s="45">
        <f t="shared" si="231"/>
        <v>27603.569999999996</v>
      </c>
      <c r="AS420" s="45">
        <f t="shared" si="220"/>
        <v>37003.57</v>
      </c>
      <c r="AT420" s="45">
        <f t="shared" si="221"/>
        <v>2220214.2000000002</v>
      </c>
      <c r="AU420" s="62"/>
      <c r="AV420" s="46"/>
      <c r="AW420" s="47"/>
      <c r="AX420" s="48"/>
      <c r="AY420" s="49"/>
      <c r="BA420" s="48"/>
    </row>
    <row r="421" spans="1:53" ht="19.5" customHeight="1" x14ac:dyDescent="0.25">
      <c r="A421" s="33" t="str">
        <f t="shared" si="216"/>
        <v>63363440,05</v>
      </c>
      <c r="B421" s="33" t="str">
        <f t="shared" si="217"/>
        <v>940,05</v>
      </c>
      <c r="C421" s="34" t="str">
        <f>VLOOKUP(D421,[1]apoio_Preços_MGS!$A$6:$B$238,2,FALSE)</f>
        <v>MOTORISTA DE VEICULO DE SERVICO</v>
      </c>
      <c r="D421" s="35">
        <v>94</v>
      </c>
      <c r="E421" s="33" t="str">
        <f>VLOOKUP(D421,[1]apoio_Preços_MGS!$A$6:$F$238,6,FALSE)</f>
        <v>MOTORISTA DE VEICULO DE SERVICO - DIARISTA DIURNO - 44H</v>
      </c>
      <c r="F421" s="36">
        <f>IFERROR(VLOOKUP(D421,'[1]apoio_cód catmas'!$B$2:$C$863,2,FALSE),0)</f>
        <v>63363</v>
      </c>
      <c r="G421" s="33" t="str">
        <f>IF(H421="N/A",VLOOKUP(F421&amp;40,'[1]apoio_cód catmas'!$A$1:$G$233,4,FALSE),VLOOKUP(F421&amp;H421,'[1]apoio_cód catmas'!$A$1:$G$233,4,FALSE))</f>
        <v>MOTORISTA DE VEICULO DE SERVICO - 44H</v>
      </c>
      <c r="H421" s="36">
        <v>44</v>
      </c>
      <c r="I421" s="37">
        <v>0.05</v>
      </c>
      <c r="J421" s="38" t="s">
        <v>47</v>
      </c>
      <c r="K421" s="39">
        <v>337</v>
      </c>
      <c r="L421" s="39">
        <f t="shared" si="196"/>
        <v>20220</v>
      </c>
      <c r="M421" s="40">
        <f>VLOOKUP(D421,[1]apoio_Preços_MGS!$A$6:$AN$238,18,FALSE)</f>
        <v>2849.8051013700169</v>
      </c>
      <c r="N421" s="40">
        <f>VLOOKUP(D421,[1]apoio_Preços_MGS!$A$6:$AN$238,19,FALSE)</f>
        <v>0</v>
      </c>
      <c r="O421" s="40">
        <f>VLOOKUP(D421,[1]apoio_Preços_MGS!$A$6:$AN$238,20,FALSE)</f>
        <v>0</v>
      </c>
      <c r="P421" s="40">
        <f>VLOOKUP(D421,[1]apoio_Preços_MGS!$A$6:$AN$238,21,FALSE)</f>
        <v>0</v>
      </c>
      <c r="Q421" s="40">
        <f>VLOOKUP(D421,[1]apoio_Preços_MGS!$A$6:$AN$238,22,FALSE)</f>
        <v>0</v>
      </c>
      <c r="R421" s="40">
        <f>VLOOKUP(D421,[1]apoio_Preços_MGS!$A$6:$AN$238,23,FALSE)</f>
        <v>0</v>
      </c>
      <c r="S421" s="40">
        <f>VLOOKUP(D421,[1]apoio_Preços_MGS!$A$6:$AN$238,24,FALSE)</f>
        <v>0</v>
      </c>
      <c r="T421" s="40">
        <f>VLOOKUP(D421,[1]apoio_Preços_MGS!$A$6:$AN$238,25,FALSE)</f>
        <v>0</v>
      </c>
      <c r="U421" s="40">
        <f t="shared" si="214"/>
        <v>2849.8051013700169</v>
      </c>
      <c r="V421" s="41">
        <v>0.81799999999999995</v>
      </c>
      <c r="W421" s="40">
        <f t="shared" si="215"/>
        <v>2331.1405729206735</v>
      </c>
      <c r="X421" s="40">
        <f>VLOOKUP(D421,[1]apoio_Preços_MGS!$A$6:$AN$238,29,FALSE)</f>
        <v>59.667499999999997</v>
      </c>
      <c r="Y421" s="40">
        <f>VLOOKUP(D421,[1]apoio_Preços_MGS!$A$6:$AN$238,30,FALSE)</f>
        <v>2.8909090909090907</v>
      </c>
      <c r="Z421" s="40">
        <f t="shared" si="199"/>
        <v>62.558409090909088</v>
      </c>
      <c r="AA421" s="40">
        <f>VLOOKUP(D421,[1]apoio_Preços_MGS!$A$6:$AN$238,32,FALSE)</f>
        <v>5.4716257946304321</v>
      </c>
      <c r="AB421" s="40">
        <f>VLOOKUP(D421,[1]apoio_Preços_MGS!$A$6:$AN$238,33,FALSE)</f>
        <v>96.788494613583239</v>
      </c>
      <c r="AC421" s="41">
        <f>VLOOKUP(D421,[1]apoio_Preços_MGS!$A$6:$AN$238,34,FALSE)</f>
        <v>3.312705230825199E-2</v>
      </c>
      <c r="AD421" s="40">
        <f>(U421+W421+Z421+AB421+AA421+VLOOKUP(C421,[1]apoio_Prec_Folha!$A:$S,7,FALSE))*AC421</f>
        <v>196.54528509938893</v>
      </c>
      <c r="AE421" s="42">
        <f>VLOOKUP(D421,[1]apoio_Preços_MGS!$A$6:$AN$238,36,FALSE)</f>
        <v>7.0000000000000007E-2</v>
      </c>
      <c r="AF421" s="40">
        <f>(U421+W421+Z421+AB421+AD421+AA421+VLOOKUP(C421,[1]apoio_Prec_Folha!$A:$S,7,FALSE))*AE421</f>
        <v>429.07341832060501</v>
      </c>
      <c r="AG421" s="40">
        <f t="shared" si="200"/>
        <v>5971.38</v>
      </c>
      <c r="AH421" s="43">
        <f t="shared" si="201"/>
        <v>6963.7</v>
      </c>
      <c r="AI421" s="43">
        <f t="shared" si="202"/>
        <v>2346766.9</v>
      </c>
      <c r="AJ421" s="43">
        <f t="shared" si="203"/>
        <v>140806014</v>
      </c>
      <c r="AK421" s="44">
        <f>VLOOKUP(D421,[1]apoio_Preços_MGS!$A$6:$AN$238,39,FALSE)</f>
        <v>200.00000000000003</v>
      </c>
      <c r="AL421" s="44">
        <f>IF(J421="demais municípios",VLOOKUP(D421,[1]apoio_Preços_MGS!$A$6:$AN$238,39,FALSE),0)</f>
        <v>0</v>
      </c>
      <c r="AM421" s="44">
        <v>0</v>
      </c>
      <c r="AN421" s="45">
        <f t="shared" si="222"/>
        <v>0</v>
      </c>
      <c r="AO421" s="44">
        <f>VLOOKUP(D421,[1]apoio_Preços_MGS!$A$6:$AN$238,40,FALSE)</f>
        <v>587.30999999999995</v>
      </c>
      <c r="AP421" s="44">
        <f>IF(J421="demais municípios",VLOOKUP(D421,[1]apoio_Preços_MGS!$A$6:$AN$238,40,FALSE),0)</f>
        <v>0</v>
      </c>
      <c r="AQ421" s="44">
        <f>TRUNC(ROUND(($I421)/(1-($I421)),5)*VLOOKUP(D421,[1]apoio_Preços_MGS!$A$6:$AN$238,40,FALSE)+VLOOKUP(D421,[1]apoio_Preços_MGS!$A$6:$AN$238,40,FALSE),2)</f>
        <v>618.22</v>
      </c>
      <c r="AR421" s="45">
        <f t="shared" si="223"/>
        <v>208340.14</v>
      </c>
      <c r="AS421" s="45">
        <f t="shared" si="220"/>
        <v>208340.14</v>
      </c>
      <c r="AT421" s="45">
        <f t="shared" si="221"/>
        <v>12500408.4</v>
      </c>
      <c r="AU421" s="62"/>
      <c r="AV421" s="46"/>
      <c r="AW421" s="47"/>
      <c r="AX421" s="48"/>
      <c r="AY421" s="49"/>
      <c r="BA421" s="48"/>
    </row>
    <row r="422" spans="1:53" ht="19.5" customHeight="1" x14ac:dyDescent="0.25">
      <c r="A422" s="33" t="str">
        <f t="shared" si="216"/>
        <v>146226440,02</v>
      </c>
      <c r="B422" s="33" t="str">
        <f t="shared" si="217"/>
        <v>19040,02</v>
      </c>
      <c r="C422" s="34" t="str">
        <f>VLOOKUP(D422,[1]apoio_Preços_MGS!$A$6:$B$238,2,FALSE)</f>
        <v>MOTORISTA DE VEICULO DE SERVICO</v>
      </c>
      <c r="D422" s="35">
        <v>1904</v>
      </c>
      <c r="E422" s="33" t="str">
        <f>VLOOKUP(D422,[1]apoio_Preços_MGS!$A$6:$F$238,6,FALSE)</f>
        <v>MOTORISTA DE VEICULO DE SERVICO - (PERIC.) - DIARISTA DIURNO - 44H</v>
      </c>
      <c r="F422" s="36">
        <f>IFERROR(VLOOKUP(D422,'[1]apoio_cód catmas'!$B$2:$C$863,2,FALSE),0)</f>
        <v>146226</v>
      </c>
      <c r="G422" s="33" t="str">
        <f>IF(H422="N/A",VLOOKUP(F422&amp;40,'[1]apoio_cód catmas'!$A$1:$G$233,4,FALSE),VLOOKUP(F422&amp;H422,'[1]apoio_cód catmas'!$A$1:$G$233,4,FALSE))</f>
        <v>MOTORISTA DE VEICULO DE SERVICO - (PERICULOSIDADE) - 40H OU 44H</v>
      </c>
      <c r="H422" s="36">
        <v>44</v>
      </c>
      <c r="I422" s="37">
        <v>0.02</v>
      </c>
      <c r="J422" s="38" t="s">
        <v>46</v>
      </c>
      <c r="K422" s="39">
        <v>1</v>
      </c>
      <c r="L422" s="39">
        <f t="shared" si="196"/>
        <v>60</v>
      </c>
      <c r="M422" s="40">
        <f>VLOOKUP(D422,[1]apoio_Preços_MGS!$A$6:$AN$238,18,FALSE)</f>
        <v>2849.8051013700169</v>
      </c>
      <c r="N422" s="40">
        <f>VLOOKUP(D422,[1]apoio_Preços_MGS!$A$6:$AN$238,19,FALSE)</f>
        <v>854.94153041100503</v>
      </c>
      <c r="O422" s="40">
        <f>VLOOKUP(D422,[1]apoio_Preços_MGS!$A$6:$AN$238,20,FALSE)</f>
        <v>0</v>
      </c>
      <c r="P422" s="40">
        <f>VLOOKUP(D422,[1]apoio_Preços_MGS!$A$6:$AN$238,21,FALSE)</f>
        <v>0</v>
      </c>
      <c r="Q422" s="40">
        <f>VLOOKUP(D422,[1]apoio_Preços_MGS!$A$6:$AN$238,22,FALSE)</f>
        <v>0</v>
      </c>
      <c r="R422" s="40">
        <f>VLOOKUP(D422,[1]apoio_Preços_MGS!$A$6:$AN$238,23,FALSE)</f>
        <v>0</v>
      </c>
      <c r="S422" s="40">
        <f>VLOOKUP(D422,[1]apoio_Preços_MGS!$A$6:$AN$238,24,FALSE)</f>
        <v>0</v>
      </c>
      <c r="T422" s="40">
        <f>VLOOKUP(D422,[1]apoio_Preços_MGS!$A$6:$AN$238,25,FALSE)</f>
        <v>0</v>
      </c>
      <c r="U422" s="40">
        <f t="shared" si="214"/>
        <v>3704.7466317810222</v>
      </c>
      <c r="V422" s="41">
        <v>0.81799999999999995</v>
      </c>
      <c r="W422" s="40">
        <f t="shared" si="215"/>
        <v>3030.482744796876</v>
      </c>
      <c r="X422" s="40">
        <f>VLOOKUP(D422,[1]apoio_Preços_MGS!$A$6:$AN$238,29,FALSE)</f>
        <v>59.667499999999997</v>
      </c>
      <c r="Y422" s="40">
        <f>VLOOKUP(D422,[1]apoio_Preços_MGS!$A$6:$AN$238,30,FALSE)</f>
        <v>2.8909090909090907</v>
      </c>
      <c r="Z422" s="40">
        <f t="shared" si="199"/>
        <v>62.558409090909088</v>
      </c>
      <c r="AA422" s="40">
        <f>VLOOKUP(D422,[1]apoio_Preços_MGS!$A$6:$AN$238,32,FALSE)</f>
        <v>5.4716257946304321</v>
      </c>
      <c r="AB422" s="40">
        <f>VLOOKUP(D422,[1]apoio_Preços_MGS!$A$6:$AN$238,33,FALSE)</f>
        <v>96.788494613583239</v>
      </c>
      <c r="AC422" s="41">
        <f>VLOOKUP(D422,[1]apoio_Preços_MGS!$A$6:$AN$238,34,FALSE)</f>
        <v>3.312705230825199E-2</v>
      </c>
      <c r="AD422" s="40">
        <f>(U422+W422+Z422+AB422+AA422+VLOOKUP(C422,[1]apoio_Prec_Folha!$A:$S,7,FALSE))*AC422</f>
        <v>248.03412260692082</v>
      </c>
      <c r="AE422" s="42">
        <f>VLOOKUP(D422,[1]apoio_Preços_MGS!$A$6:$AN$238,36,FALSE)</f>
        <v>7.0000000000000007E-2</v>
      </c>
      <c r="AF422" s="40">
        <f>(U422+W422+Z422+AB422+AD422+AA422+VLOOKUP(C422,[1]apoio_Prec_Folha!$A:$S,7,FALSE))*AE422</f>
        <v>541.4774961062368</v>
      </c>
      <c r="AG422" s="40">
        <f t="shared" si="200"/>
        <v>7689.55</v>
      </c>
      <c r="AH422" s="43">
        <f t="shared" si="201"/>
        <v>8664.27</v>
      </c>
      <c r="AI422" s="43">
        <f t="shared" si="202"/>
        <v>8664.27</v>
      </c>
      <c r="AJ422" s="43">
        <f t="shared" si="203"/>
        <v>519856.2</v>
      </c>
      <c r="AK422" s="44">
        <f>VLOOKUP(D422,[1]apoio_Preços_MGS!$A$6:$AN$238,39,FALSE)</f>
        <v>200.00000000000003</v>
      </c>
      <c r="AL422" s="44">
        <f>IF(J422="demais municípios",VLOOKUP(D422,[1]apoio_Preços_MGS!$A$6:$AN$238,39,FALSE),0)</f>
        <v>200.00000000000003</v>
      </c>
      <c r="AM422" s="44">
        <v>0</v>
      </c>
      <c r="AN422" s="45">
        <f t="shared" ref="AN422:AN423" si="232">AK422*K422</f>
        <v>200.00000000000003</v>
      </c>
      <c r="AO422" s="44">
        <f>VLOOKUP(D422,[1]apoio_Preços_MGS!$A$6:$AN$238,40,FALSE)</f>
        <v>587.30999999999995</v>
      </c>
      <c r="AP422" s="44">
        <f>IF(J422="demais municípios",VLOOKUP(D422,[1]apoio_Preços_MGS!$A$6:$AN$238,40,FALSE),0)</f>
        <v>587.30999999999995</v>
      </c>
      <c r="AQ422" s="44">
        <v>0</v>
      </c>
      <c r="AR422" s="45">
        <f t="shared" ref="AR422:AR423" si="233">AO422*K422</f>
        <v>587.30999999999995</v>
      </c>
      <c r="AS422" s="45">
        <f t="shared" si="220"/>
        <v>787.31</v>
      </c>
      <c r="AT422" s="45">
        <f t="shared" si="221"/>
        <v>47238.6</v>
      </c>
      <c r="AU422" s="62"/>
      <c r="AV422" s="46"/>
      <c r="AW422" s="47"/>
      <c r="AX422" s="48"/>
      <c r="AY422" s="49"/>
      <c r="BA422" s="48"/>
    </row>
    <row r="423" spans="1:53" ht="19.5" customHeight="1" x14ac:dyDescent="0.25">
      <c r="A423" s="33" t="str">
        <f t="shared" si="216"/>
        <v>146226440,05</v>
      </c>
      <c r="B423" s="33" t="str">
        <f t="shared" si="217"/>
        <v>19040,05</v>
      </c>
      <c r="C423" s="34" t="str">
        <f>VLOOKUP(D423,[1]apoio_Preços_MGS!$A$6:$B$238,2,FALSE)</f>
        <v>MOTORISTA DE VEICULO DE SERVICO</v>
      </c>
      <c r="D423" s="35">
        <v>1904</v>
      </c>
      <c r="E423" s="33" t="str">
        <f>VLOOKUP(D423,[1]apoio_Preços_MGS!$A$6:$F$238,6,FALSE)</f>
        <v>MOTORISTA DE VEICULO DE SERVICO - (PERIC.) - DIARISTA DIURNO - 44H</v>
      </c>
      <c r="F423" s="36">
        <f>IFERROR(VLOOKUP(D423,'[1]apoio_cód catmas'!$B$2:$C$863,2,FALSE),0)</f>
        <v>146226</v>
      </c>
      <c r="G423" s="33" t="str">
        <f>IF(H423="N/A",VLOOKUP(F423&amp;40,'[1]apoio_cód catmas'!$A$1:$G$233,4,FALSE),VLOOKUP(F423&amp;H423,'[1]apoio_cód catmas'!$A$1:$G$233,4,FALSE))</f>
        <v>MOTORISTA DE VEICULO DE SERVICO - (PERICULOSIDADE) - 40H OU 44H</v>
      </c>
      <c r="H423" s="36">
        <v>44</v>
      </c>
      <c r="I423" s="37">
        <v>0.05</v>
      </c>
      <c r="J423" s="38" t="s">
        <v>46</v>
      </c>
      <c r="K423" s="39">
        <f>4-K424</f>
        <v>2</v>
      </c>
      <c r="L423" s="39">
        <f t="shared" si="196"/>
        <v>120</v>
      </c>
      <c r="M423" s="40">
        <f>VLOOKUP(D423,[1]apoio_Preços_MGS!$A$6:$AN$238,18,FALSE)</f>
        <v>2849.8051013700169</v>
      </c>
      <c r="N423" s="40">
        <f>VLOOKUP(D423,[1]apoio_Preços_MGS!$A$6:$AN$238,19,FALSE)</f>
        <v>854.94153041100503</v>
      </c>
      <c r="O423" s="40">
        <f>VLOOKUP(D423,[1]apoio_Preços_MGS!$A$6:$AN$238,20,FALSE)</f>
        <v>0</v>
      </c>
      <c r="P423" s="40">
        <f>VLOOKUP(D423,[1]apoio_Preços_MGS!$A$6:$AN$238,21,FALSE)</f>
        <v>0</v>
      </c>
      <c r="Q423" s="40">
        <f>VLOOKUP(D423,[1]apoio_Preços_MGS!$A$6:$AN$238,22,FALSE)</f>
        <v>0</v>
      </c>
      <c r="R423" s="40">
        <f>VLOOKUP(D423,[1]apoio_Preços_MGS!$A$6:$AN$238,23,FALSE)</f>
        <v>0</v>
      </c>
      <c r="S423" s="40">
        <f>VLOOKUP(D423,[1]apoio_Preços_MGS!$A$6:$AN$238,24,FALSE)</f>
        <v>0</v>
      </c>
      <c r="T423" s="40">
        <f>VLOOKUP(D423,[1]apoio_Preços_MGS!$A$6:$AN$238,25,FALSE)</f>
        <v>0</v>
      </c>
      <c r="U423" s="40">
        <f t="shared" si="214"/>
        <v>3704.7466317810222</v>
      </c>
      <c r="V423" s="41">
        <v>0.81799999999999995</v>
      </c>
      <c r="W423" s="40">
        <f t="shared" si="215"/>
        <v>3030.482744796876</v>
      </c>
      <c r="X423" s="40">
        <f>VLOOKUP(D423,[1]apoio_Preços_MGS!$A$6:$AN$238,29,FALSE)</f>
        <v>59.667499999999997</v>
      </c>
      <c r="Y423" s="40">
        <f>VLOOKUP(D423,[1]apoio_Preços_MGS!$A$6:$AN$238,30,FALSE)</f>
        <v>2.8909090909090907</v>
      </c>
      <c r="Z423" s="40">
        <f t="shared" si="199"/>
        <v>62.558409090909088</v>
      </c>
      <c r="AA423" s="40">
        <f>VLOOKUP(D423,[1]apoio_Preços_MGS!$A$6:$AN$238,32,FALSE)</f>
        <v>5.4716257946304321</v>
      </c>
      <c r="AB423" s="40">
        <f>VLOOKUP(D423,[1]apoio_Preços_MGS!$A$6:$AN$238,33,FALSE)</f>
        <v>96.788494613583239</v>
      </c>
      <c r="AC423" s="41">
        <f>VLOOKUP(D423,[1]apoio_Preços_MGS!$A$6:$AN$238,34,FALSE)</f>
        <v>3.312705230825199E-2</v>
      </c>
      <c r="AD423" s="40">
        <f>(U423+W423+Z423+AB423+AA423+VLOOKUP(C423,[1]apoio_Prec_Folha!$A:$S,7,FALSE))*AC423</f>
        <v>248.03412260692082</v>
      </c>
      <c r="AE423" s="42">
        <f>VLOOKUP(D423,[1]apoio_Preços_MGS!$A$6:$AN$238,36,FALSE)</f>
        <v>7.0000000000000007E-2</v>
      </c>
      <c r="AF423" s="40">
        <f>(U423+W423+Z423+AB423+AD423+AA423+VLOOKUP(C423,[1]apoio_Prec_Folha!$A:$S,7,FALSE))*AE423</f>
        <v>541.4774961062368</v>
      </c>
      <c r="AG423" s="40">
        <f t="shared" si="200"/>
        <v>7689.55</v>
      </c>
      <c r="AH423" s="43">
        <f t="shared" si="201"/>
        <v>8967.39</v>
      </c>
      <c r="AI423" s="43">
        <f t="shared" si="202"/>
        <v>17934.78</v>
      </c>
      <c r="AJ423" s="43">
        <f t="shared" si="203"/>
        <v>1076086.7999999998</v>
      </c>
      <c r="AK423" s="44">
        <f>VLOOKUP(D423,[1]apoio_Preços_MGS!$A$6:$AN$238,39,FALSE)</f>
        <v>200.00000000000003</v>
      </c>
      <c r="AL423" s="44">
        <f>IF(J423="demais municípios",VLOOKUP(D423,[1]apoio_Preços_MGS!$A$6:$AN$238,39,FALSE),0)</f>
        <v>200.00000000000003</v>
      </c>
      <c r="AM423" s="44">
        <v>0</v>
      </c>
      <c r="AN423" s="45">
        <f t="shared" si="232"/>
        <v>400.00000000000006</v>
      </c>
      <c r="AO423" s="44">
        <f>VLOOKUP(D423,[1]apoio_Preços_MGS!$A$6:$AN$238,40,FALSE)</f>
        <v>587.30999999999995</v>
      </c>
      <c r="AP423" s="44">
        <f>IF(J423="demais municípios",VLOOKUP(D423,[1]apoio_Preços_MGS!$A$6:$AN$238,40,FALSE),0)</f>
        <v>587.30999999999995</v>
      </c>
      <c r="AQ423" s="44">
        <v>0</v>
      </c>
      <c r="AR423" s="45">
        <f t="shared" si="233"/>
        <v>1174.6199999999999</v>
      </c>
      <c r="AS423" s="45">
        <f t="shared" si="220"/>
        <v>1574.62</v>
      </c>
      <c r="AT423" s="45">
        <f t="shared" si="221"/>
        <v>94477.2</v>
      </c>
      <c r="AU423" s="62"/>
      <c r="AV423" s="46"/>
      <c r="AW423" s="47"/>
      <c r="AX423" s="48"/>
      <c r="AY423" s="49"/>
      <c r="BA423" s="48"/>
    </row>
    <row r="424" spans="1:53" ht="19.5" customHeight="1" x14ac:dyDescent="0.25">
      <c r="A424" s="33" t="str">
        <f t="shared" si="216"/>
        <v>146226440,05</v>
      </c>
      <c r="B424" s="33" t="str">
        <f t="shared" si="217"/>
        <v>19040,05</v>
      </c>
      <c r="C424" s="34" t="str">
        <f>VLOOKUP(D424,[1]apoio_Preços_MGS!$A$6:$B$238,2,FALSE)</f>
        <v>MOTORISTA DE VEICULO DE SERVICO</v>
      </c>
      <c r="D424" s="35">
        <v>1904</v>
      </c>
      <c r="E424" s="33" t="str">
        <f>VLOOKUP(D424,[1]apoio_Preços_MGS!$A$6:$F$238,6,FALSE)</f>
        <v>MOTORISTA DE VEICULO DE SERVICO - (PERIC.) - DIARISTA DIURNO - 44H</v>
      </c>
      <c r="F424" s="36">
        <f>IFERROR(VLOOKUP(D424,'[1]apoio_cód catmas'!$B$2:$C$863,2,FALSE),0)</f>
        <v>146226</v>
      </c>
      <c r="G424" s="33" t="str">
        <f>IF(H424="N/A",VLOOKUP(F424&amp;40,'[1]apoio_cód catmas'!$A$1:$G$233,4,FALSE),VLOOKUP(F424&amp;H424,'[1]apoio_cód catmas'!$A$1:$G$233,4,FALSE))</f>
        <v>MOTORISTA DE VEICULO DE SERVICO - (PERICULOSIDADE) - 40H OU 44H</v>
      </c>
      <c r="H424" s="36">
        <v>44</v>
      </c>
      <c r="I424" s="37">
        <v>0.05</v>
      </c>
      <c r="J424" s="38" t="s">
        <v>47</v>
      </c>
      <c r="K424" s="39">
        <v>2</v>
      </c>
      <c r="L424" s="39">
        <f t="shared" si="196"/>
        <v>120</v>
      </c>
      <c r="M424" s="40">
        <f>VLOOKUP(D424,[1]apoio_Preços_MGS!$A$6:$AN$238,18,FALSE)</f>
        <v>2849.8051013700169</v>
      </c>
      <c r="N424" s="40">
        <f>VLOOKUP(D424,[1]apoio_Preços_MGS!$A$6:$AN$238,19,FALSE)</f>
        <v>854.94153041100503</v>
      </c>
      <c r="O424" s="40">
        <f>VLOOKUP(D424,[1]apoio_Preços_MGS!$A$6:$AN$238,20,FALSE)</f>
        <v>0</v>
      </c>
      <c r="P424" s="40">
        <f>VLOOKUP(D424,[1]apoio_Preços_MGS!$A$6:$AN$238,21,FALSE)</f>
        <v>0</v>
      </c>
      <c r="Q424" s="40">
        <f>VLOOKUP(D424,[1]apoio_Preços_MGS!$A$6:$AN$238,22,FALSE)</f>
        <v>0</v>
      </c>
      <c r="R424" s="40">
        <f>VLOOKUP(D424,[1]apoio_Preços_MGS!$A$6:$AN$238,23,FALSE)</f>
        <v>0</v>
      </c>
      <c r="S424" s="40">
        <f>VLOOKUP(D424,[1]apoio_Preços_MGS!$A$6:$AN$238,24,FALSE)</f>
        <v>0</v>
      </c>
      <c r="T424" s="40">
        <f>VLOOKUP(D424,[1]apoio_Preços_MGS!$A$6:$AN$238,25,FALSE)</f>
        <v>0</v>
      </c>
      <c r="U424" s="40">
        <f t="shared" si="214"/>
        <v>3704.7466317810222</v>
      </c>
      <c r="V424" s="41">
        <v>0.81799999999999995</v>
      </c>
      <c r="W424" s="40">
        <f t="shared" si="215"/>
        <v>3030.482744796876</v>
      </c>
      <c r="X424" s="40">
        <f>VLOOKUP(D424,[1]apoio_Preços_MGS!$A$6:$AN$238,29,FALSE)</f>
        <v>59.667499999999997</v>
      </c>
      <c r="Y424" s="40">
        <f>VLOOKUP(D424,[1]apoio_Preços_MGS!$A$6:$AN$238,30,FALSE)</f>
        <v>2.8909090909090907</v>
      </c>
      <c r="Z424" s="40">
        <f t="shared" si="199"/>
        <v>62.558409090909088</v>
      </c>
      <c r="AA424" s="40">
        <f>VLOOKUP(D424,[1]apoio_Preços_MGS!$A$6:$AN$238,32,FALSE)</f>
        <v>5.4716257946304321</v>
      </c>
      <c r="AB424" s="40">
        <f>VLOOKUP(D424,[1]apoio_Preços_MGS!$A$6:$AN$238,33,FALSE)</f>
        <v>96.788494613583239</v>
      </c>
      <c r="AC424" s="41">
        <f>VLOOKUP(D424,[1]apoio_Preços_MGS!$A$6:$AN$238,34,FALSE)</f>
        <v>3.312705230825199E-2</v>
      </c>
      <c r="AD424" s="40">
        <f>(U424+W424+Z424+AB424+AA424+VLOOKUP(C424,[1]apoio_Prec_Folha!$A:$S,7,FALSE))*AC424</f>
        <v>248.03412260692082</v>
      </c>
      <c r="AE424" s="42">
        <f>VLOOKUP(D424,[1]apoio_Preços_MGS!$A$6:$AN$238,36,FALSE)</f>
        <v>7.0000000000000007E-2</v>
      </c>
      <c r="AF424" s="40">
        <f>(U424+W424+Z424+AB424+AD424+AA424+VLOOKUP(C424,[1]apoio_Prec_Folha!$A:$S,7,FALSE))*AE424</f>
        <v>541.4774961062368</v>
      </c>
      <c r="AG424" s="40">
        <f t="shared" si="200"/>
        <v>7689.55</v>
      </c>
      <c r="AH424" s="43">
        <f t="shared" si="201"/>
        <v>8967.39</v>
      </c>
      <c r="AI424" s="43">
        <f t="shared" si="202"/>
        <v>17934.78</v>
      </c>
      <c r="AJ424" s="43">
        <f t="shared" si="203"/>
        <v>1076086.7999999998</v>
      </c>
      <c r="AK424" s="44">
        <f>VLOOKUP(D424,[1]apoio_Preços_MGS!$A$6:$AN$238,39,FALSE)</f>
        <v>200.00000000000003</v>
      </c>
      <c r="AL424" s="44">
        <f>IF(J424="demais municípios",VLOOKUP(D424,[1]apoio_Preços_MGS!$A$6:$AN$238,39,FALSE),0)</f>
        <v>0</v>
      </c>
      <c r="AM424" s="44">
        <v>0</v>
      </c>
      <c r="AN424" s="45">
        <f t="shared" si="222"/>
        <v>0</v>
      </c>
      <c r="AO424" s="44">
        <f>VLOOKUP(D424,[1]apoio_Preços_MGS!$A$6:$AN$238,40,FALSE)</f>
        <v>587.30999999999995</v>
      </c>
      <c r="AP424" s="44">
        <f>IF(J424="demais municípios",VLOOKUP(D424,[1]apoio_Preços_MGS!$A$6:$AN$238,40,FALSE),0)</f>
        <v>0</v>
      </c>
      <c r="AQ424" s="44">
        <f>TRUNC(ROUND(($I424)/(1-($I424)),5)*VLOOKUP(D424,[1]apoio_Preços_MGS!$A$6:$AN$238,40,FALSE)+VLOOKUP(D424,[1]apoio_Preços_MGS!$A$6:$AN$238,40,FALSE),2)</f>
        <v>618.22</v>
      </c>
      <c r="AR424" s="45">
        <f t="shared" si="223"/>
        <v>1236.44</v>
      </c>
      <c r="AS424" s="45">
        <f t="shared" si="220"/>
        <v>1236.44</v>
      </c>
      <c r="AT424" s="45">
        <f t="shared" si="221"/>
        <v>74186.400000000009</v>
      </c>
      <c r="AU424" s="62"/>
      <c r="AV424" s="46"/>
      <c r="AW424" s="47"/>
      <c r="AX424" s="48"/>
      <c r="AY424" s="49"/>
      <c r="BA424" s="48"/>
    </row>
    <row r="425" spans="1:53" ht="19.5" customHeight="1" x14ac:dyDescent="0.25">
      <c r="A425" s="33" t="str">
        <f t="shared" si="216"/>
        <v>146250440,02</v>
      </c>
      <c r="B425" s="33" t="str">
        <f t="shared" si="217"/>
        <v>E0,02</v>
      </c>
      <c r="C425" s="34" t="str">
        <f>VLOOKUP(D425,[1]apoio_Preços_MGS!$A$6:$B$238,2,FALSE)</f>
        <v>MOTORISTA EXECUTIVO</v>
      </c>
      <c r="D425" s="35" t="s">
        <v>50</v>
      </c>
      <c r="E425" s="33" t="str">
        <f>VLOOKUP(D425,[1]apoio_Preços_MGS!$A$6:$F$238,6,FALSE)</f>
        <v>MOTORISTA EXECUTIVO - DIARISTA DIURNO - 44H</v>
      </c>
      <c r="F425" s="36">
        <f>IFERROR(VLOOKUP(D425,'[1]apoio_cód catmas'!$B$2:$C$863,2,FALSE),0)</f>
        <v>146250</v>
      </c>
      <c r="G425" s="33" t="str">
        <f>IF(H425="N/A",VLOOKUP(F425&amp;40,'[1]apoio_cód catmas'!$A$1:$G$233,4,FALSE),VLOOKUP(F425&amp;H425,'[1]apoio_cód catmas'!$A$1:$G$233,4,FALSE))</f>
        <v>MOTORISTA DE VEICULO DE SERVICO EXECUTIVO - 44H</v>
      </c>
      <c r="H425" s="36">
        <v>44</v>
      </c>
      <c r="I425" s="37">
        <v>0.02</v>
      </c>
      <c r="J425" s="38" t="s">
        <v>46</v>
      </c>
      <c r="K425" s="39">
        <v>1</v>
      </c>
      <c r="L425" s="39">
        <f>K425*52</f>
        <v>52</v>
      </c>
      <c r="M425" s="40">
        <f>VLOOKUP(D425,[1]apoio_Preços_MGS!$A$6:$AN$238,18,FALSE)</f>
        <v>3910.6845499999999</v>
      </c>
      <c r="N425" s="40">
        <f>VLOOKUP(D425,[1]apoio_Preços_MGS!$A$6:$AN$238,19,FALSE)</f>
        <v>0</v>
      </c>
      <c r="O425" s="40">
        <f>VLOOKUP(D425,[1]apoio_Preços_MGS!$A$6:$AN$238,20,FALSE)</f>
        <v>0</v>
      </c>
      <c r="P425" s="40">
        <f>VLOOKUP(D425,[1]apoio_Preços_MGS!$A$6:$AN$238,21,FALSE)</f>
        <v>0</v>
      </c>
      <c r="Q425" s="40">
        <f>VLOOKUP(D425,[1]apoio_Preços_MGS!$A$6:$AN$238,22,FALSE)</f>
        <v>0</v>
      </c>
      <c r="R425" s="40">
        <f>VLOOKUP(D425,[1]apoio_Preços_MGS!$A$6:$AN$238,23,FALSE)</f>
        <v>0</v>
      </c>
      <c r="S425" s="40">
        <f>VLOOKUP(D425,[1]apoio_Preços_MGS!$A$6:$AN$238,24,FALSE)</f>
        <v>0</v>
      </c>
      <c r="T425" s="40">
        <f>VLOOKUP(D425,[1]apoio_Preços_MGS!$A$6:$AN$238,25,FALSE)</f>
        <v>0</v>
      </c>
      <c r="U425" s="40">
        <f t="shared" si="214"/>
        <v>3910.6845499999999</v>
      </c>
      <c r="V425" s="41">
        <v>0.81799999999999995</v>
      </c>
      <c r="W425" s="40">
        <f t="shared" si="215"/>
        <v>3198.9399618999996</v>
      </c>
      <c r="X425" s="40">
        <f>VLOOKUP(D425,[1]apoio_Preços_MGS!$A$6:$AN$238,29,FALSE)</f>
        <v>59.667499999999997</v>
      </c>
      <c r="Y425" s="40">
        <f>VLOOKUP(D425,[1]apoio_Preços_MGS!$A$6:$AN$238,30,FALSE)</f>
        <v>2.8909090909090907</v>
      </c>
      <c r="Z425" s="40">
        <f t="shared" si="199"/>
        <v>62.558409090909088</v>
      </c>
      <c r="AA425" s="40">
        <f>VLOOKUP(D425,[1]apoio_Preços_MGS!$A$6:$AN$238,32,FALSE)</f>
        <v>7.5085143359999993</v>
      </c>
      <c r="AB425" s="40">
        <f>VLOOKUP(D425,[1]apoio_Preços_MGS!$A$6:$AN$238,33,FALSE)</f>
        <v>0</v>
      </c>
      <c r="AC425" s="41">
        <f>VLOOKUP(D425,[1]apoio_Preços_MGS!$A$6:$AN$238,34,FALSE)</f>
        <v>3.2146832029040541E-2</v>
      </c>
      <c r="AD425" s="40">
        <f>(U425+W425+Z425+AB425+AA425+VLOOKUP(C425,[1]apoio_Prec_Folha!$A:$S,7,FALSE))*AC425</f>
        <v>249.83172300146393</v>
      </c>
      <c r="AE425" s="42">
        <f>VLOOKUP(D425,[1]apoio_Preços_MGS!$A$6:$AN$238,36,FALSE)</f>
        <v>7.0000000000000007E-2</v>
      </c>
      <c r="AF425" s="40">
        <f>(U425+W425+Z425+AB425+AD425+AA425+VLOOKUP(C425,[1]apoio_Prec_Folha!$A:$S,7,FALSE))*AE425</f>
        <v>561.49892108298616</v>
      </c>
      <c r="AG425" s="40">
        <f t="shared" si="200"/>
        <v>7991.02</v>
      </c>
      <c r="AH425" s="43">
        <f t="shared" si="201"/>
        <v>9003.9599999999991</v>
      </c>
      <c r="AI425" s="43">
        <f t="shared" si="202"/>
        <v>9003.9599999999991</v>
      </c>
      <c r="AJ425" s="43">
        <f t="shared" si="203"/>
        <v>468205.91999999993</v>
      </c>
      <c r="AK425" s="44">
        <f>VLOOKUP(D425,[1]apoio_Preços_MGS!$A$6:$AN$238,39,FALSE)</f>
        <v>200.00000000000003</v>
      </c>
      <c r="AL425" s="44">
        <f>IF(J425="demais municípios",VLOOKUP(D425,[1]apoio_Preços_MGS!$A$6:$AN$238,39,FALSE),0)</f>
        <v>200.00000000000003</v>
      </c>
      <c r="AM425" s="44">
        <v>0</v>
      </c>
      <c r="AN425" s="45">
        <f t="shared" ref="AN425:AN426" si="234">AK425*K425</f>
        <v>200.00000000000003</v>
      </c>
      <c r="AO425" s="44">
        <f>VLOOKUP(D425,[1]apoio_Preços_MGS!$A$6:$AN$238,40,FALSE)</f>
        <v>591.89</v>
      </c>
      <c r="AP425" s="44">
        <f>IF(J425="demais municípios",VLOOKUP(D425,[1]apoio_Preços_MGS!$A$6:$AN$238,40,FALSE),0)</f>
        <v>591.89</v>
      </c>
      <c r="AQ425" s="44">
        <v>0</v>
      </c>
      <c r="AR425" s="45">
        <f t="shared" ref="AR425:AR426" si="235">AO425*K425</f>
        <v>591.89</v>
      </c>
      <c r="AS425" s="45">
        <f t="shared" si="220"/>
        <v>791.89</v>
      </c>
      <c r="AT425" s="45">
        <f t="shared" si="221"/>
        <v>47513.4</v>
      </c>
      <c r="AU425" s="62"/>
      <c r="AV425" s="46"/>
      <c r="AW425" s="47"/>
      <c r="AX425" s="48"/>
      <c r="AY425" s="49"/>
      <c r="BA425" s="48"/>
    </row>
    <row r="426" spans="1:53" ht="19.5" customHeight="1" x14ac:dyDescent="0.25">
      <c r="A426" s="33" t="str">
        <f t="shared" si="216"/>
        <v>146250440,03</v>
      </c>
      <c r="B426" s="33" t="str">
        <f t="shared" si="217"/>
        <v>E0,03</v>
      </c>
      <c r="C426" s="34" t="str">
        <f>VLOOKUP(D426,[1]apoio_Preços_MGS!$A$6:$B$238,2,FALSE)</f>
        <v>MOTORISTA EXECUTIVO</v>
      </c>
      <c r="D426" s="35" t="s">
        <v>50</v>
      </c>
      <c r="E426" s="33" t="str">
        <f>VLOOKUP(D426,[1]apoio_Preços_MGS!$A$6:$F$238,6,FALSE)</f>
        <v>MOTORISTA EXECUTIVO - DIARISTA DIURNO - 44H</v>
      </c>
      <c r="F426" s="36">
        <f>IFERROR(VLOOKUP(D426,'[1]apoio_cód catmas'!$B$2:$C$863,2,FALSE),0)</f>
        <v>146250</v>
      </c>
      <c r="G426" s="33" t="str">
        <f>IF(H426="N/A",VLOOKUP(F426&amp;40,'[1]apoio_cód catmas'!$A$1:$G$233,4,FALSE),VLOOKUP(F426&amp;H426,'[1]apoio_cód catmas'!$A$1:$G$233,4,FALSE))</f>
        <v>MOTORISTA DE VEICULO DE SERVICO EXECUTIVO - 44H</v>
      </c>
      <c r="H426" s="36">
        <v>44</v>
      </c>
      <c r="I426" s="37">
        <v>0.03</v>
      </c>
      <c r="J426" s="38" t="s">
        <v>46</v>
      </c>
      <c r="K426" s="39">
        <v>2</v>
      </c>
      <c r="L426" s="39">
        <f>K426*52</f>
        <v>104</v>
      </c>
      <c r="M426" s="40">
        <f>VLOOKUP(D426,[1]apoio_Preços_MGS!$A$6:$AN$238,18,FALSE)</f>
        <v>3910.6845499999999</v>
      </c>
      <c r="N426" s="40">
        <f>VLOOKUP(D426,[1]apoio_Preços_MGS!$A$6:$AN$238,19,FALSE)</f>
        <v>0</v>
      </c>
      <c r="O426" s="40">
        <f>VLOOKUP(D426,[1]apoio_Preços_MGS!$A$6:$AN$238,20,FALSE)</f>
        <v>0</v>
      </c>
      <c r="P426" s="40">
        <f>VLOOKUP(D426,[1]apoio_Preços_MGS!$A$6:$AN$238,21,FALSE)</f>
        <v>0</v>
      </c>
      <c r="Q426" s="40">
        <f>VLOOKUP(D426,[1]apoio_Preços_MGS!$A$6:$AN$238,22,FALSE)</f>
        <v>0</v>
      </c>
      <c r="R426" s="40">
        <f>VLOOKUP(D426,[1]apoio_Preços_MGS!$A$6:$AN$238,23,FALSE)</f>
        <v>0</v>
      </c>
      <c r="S426" s="40">
        <f>VLOOKUP(D426,[1]apoio_Preços_MGS!$A$6:$AN$238,24,FALSE)</f>
        <v>0</v>
      </c>
      <c r="T426" s="40">
        <f>VLOOKUP(D426,[1]apoio_Preços_MGS!$A$6:$AN$238,25,FALSE)</f>
        <v>0</v>
      </c>
      <c r="U426" s="40">
        <f t="shared" si="214"/>
        <v>3910.6845499999999</v>
      </c>
      <c r="V426" s="41">
        <v>0.81799999999999995</v>
      </c>
      <c r="W426" s="40">
        <f t="shared" si="215"/>
        <v>3198.9399618999996</v>
      </c>
      <c r="X426" s="40">
        <f>VLOOKUP(D426,[1]apoio_Preços_MGS!$A$6:$AN$238,29,FALSE)</f>
        <v>59.667499999999997</v>
      </c>
      <c r="Y426" s="40">
        <f>VLOOKUP(D426,[1]apoio_Preços_MGS!$A$6:$AN$238,30,FALSE)</f>
        <v>2.8909090909090907</v>
      </c>
      <c r="Z426" s="40">
        <f t="shared" si="199"/>
        <v>62.558409090909088</v>
      </c>
      <c r="AA426" s="40">
        <f>VLOOKUP(D426,[1]apoio_Preços_MGS!$A$6:$AN$238,32,FALSE)</f>
        <v>7.5085143359999993</v>
      </c>
      <c r="AB426" s="40">
        <f>VLOOKUP(D426,[1]apoio_Preços_MGS!$A$6:$AN$238,33,FALSE)</f>
        <v>0</v>
      </c>
      <c r="AC426" s="41">
        <f>VLOOKUP(D426,[1]apoio_Preços_MGS!$A$6:$AN$238,34,FALSE)</f>
        <v>3.2146832029040541E-2</v>
      </c>
      <c r="AD426" s="40">
        <f>(U426+W426+Z426+AB426+AA426+VLOOKUP(C426,[1]apoio_Prec_Folha!$A:$S,7,FALSE))*AC426</f>
        <v>249.83172300146393</v>
      </c>
      <c r="AE426" s="42">
        <f>VLOOKUP(D426,[1]apoio_Preços_MGS!$A$6:$AN$238,36,FALSE)</f>
        <v>7.0000000000000007E-2</v>
      </c>
      <c r="AF426" s="40">
        <f>(U426+W426+Z426+AB426+AD426+AA426+VLOOKUP(C426,[1]apoio_Prec_Folha!$A:$S,7,FALSE))*AE426</f>
        <v>561.49892108298616</v>
      </c>
      <c r="AG426" s="40">
        <f t="shared" si="200"/>
        <v>7991.02</v>
      </c>
      <c r="AH426" s="43">
        <f t="shared" si="201"/>
        <v>9106.56</v>
      </c>
      <c r="AI426" s="43">
        <f t="shared" si="202"/>
        <v>18213.12</v>
      </c>
      <c r="AJ426" s="43">
        <f t="shared" si="203"/>
        <v>947082.23999999999</v>
      </c>
      <c r="AK426" s="44">
        <f>VLOOKUP(D426,[1]apoio_Preços_MGS!$A$6:$AN$238,39,FALSE)</f>
        <v>200.00000000000003</v>
      </c>
      <c r="AL426" s="44">
        <f>IF(J426="demais municípios",VLOOKUP(D426,[1]apoio_Preços_MGS!$A$6:$AN$238,39,FALSE),0)</f>
        <v>200.00000000000003</v>
      </c>
      <c r="AM426" s="44">
        <v>0</v>
      </c>
      <c r="AN426" s="45">
        <f t="shared" si="234"/>
        <v>400.00000000000006</v>
      </c>
      <c r="AO426" s="44">
        <f>VLOOKUP(D426,[1]apoio_Preços_MGS!$A$6:$AN$238,40,FALSE)</f>
        <v>591.89</v>
      </c>
      <c r="AP426" s="44">
        <f>IF(J426="demais municípios",VLOOKUP(D426,[1]apoio_Preços_MGS!$A$6:$AN$238,40,FALSE),0)</f>
        <v>591.89</v>
      </c>
      <c r="AQ426" s="44">
        <v>0</v>
      </c>
      <c r="AR426" s="45">
        <f t="shared" si="235"/>
        <v>1183.78</v>
      </c>
      <c r="AS426" s="45">
        <f t="shared" si="220"/>
        <v>1583.78</v>
      </c>
      <c r="AT426" s="45">
        <f t="shared" si="221"/>
        <v>95026.8</v>
      </c>
      <c r="AU426" s="62"/>
      <c r="AV426" s="46"/>
      <c r="AW426" s="47"/>
      <c r="AX426" s="48"/>
      <c r="AY426" s="49"/>
      <c r="BA426" s="48"/>
    </row>
    <row r="427" spans="1:53" ht="19.5" customHeight="1" x14ac:dyDescent="0.25">
      <c r="A427" s="33" t="str">
        <f t="shared" si="216"/>
        <v>146250440,05</v>
      </c>
      <c r="B427" s="33" t="str">
        <f t="shared" si="217"/>
        <v>E0,05</v>
      </c>
      <c r="C427" s="34" t="str">
        <f>VLOOKUP(D427,[1]apoio_Preços_MGS!$A$6:$B$238,2,FALSE)</f>
        <v>MOTORISTA EXECUTIVO</v>
      </c>
      <c r="D427" s="35" t="s">
        <v>50</v>
      </c>
      <c r="E427" s="33" t="str">
        <f>VLOOKUP(D427,[1]apoio_Preços_MGS!$A$6:$F$238,6,FALSE)</f>
        <v>MOTORISTA EXECUTIVO - DIARISTA DIURNO - 44H</v>
      </c>
      <c r="F427" s="36">
        <f>IFERROR(VLOOKUP(D427,'[1]apoio_cód catmas'!$B$2:$C$863,2,FALSE),0)</f>
        <v>146250</v>
      </c>
      <c r="G427" s="33" t="str">
        <f>IF(H427="N/A",VLOOKUP(F427&amp;40,'[1]apoio_cód catmas'!$A$1:$G$233,4,FALSE),VLOOKUP(F427&amp;H427,'[1]apoio_cód catmas'!$A$1:$G$233,4,FALSE))</f>
        <v>MOTORISTA DE VEICULO DE SERVICO EXECUTIVO - 44H</v>
      </c>
      <c r="H427" s="36">
        <v>44</v>
      </c>
      <c r="I427" s="37">
        <v>0.05</v>
      </c>
      <c r="J427" s="38" t="s">
        <v>47</v>
      </c>
      <c r="K427" s="39">
        <v>49</v>
      </c>
      <c r="L427" s="39">
        <f>K427*52</f>
        <v>2548</v>
      </c>
      <c r="M427" s="40">
        <f>VLOOKUP(D427,[1]apoio_Preços_MGS!$A$6:$AN$238,18,FALSE)</f>
        <v>3910.6845499999999</v>
      </c>
      <c r="N427" s="40">
        <f>VLOOKUP(D427,[1]apoio_Preços_MGS!$A$6:$AN$238,19,FALSE)</f>
        <v>0</v>
      </c>
      <c r="O427" s="40">
        <f>VLOOKUP(D427,[1]apoio_Preços_MGS!$A$6:$AN$238,20,FALSE)</f>
        <v>0</v>
      </c>
      <c r="P427" s="40">
        <f>VLOOKUP(D427,[1]apoio_Preços_MGS!$A$6:$AN$238,21,FALSE)</f>
        <v>0</v>
      </c>
      <c r="Q427" s="40">
        <f>VLOOKUP(D427,[1]apoio_Preços_MGS!$A$6:$AN$238,22,FALSE)</f>
        <v>0</v>
      </c>
      <c r="R427" s="40">
        <f>VLOOKUP(D427,[1]apoio_Preços_MGS!$A$6:$AN$238,23,FALSE)</f>
        <v>0</v>
      </c>
      <c r="S427" s="40">
        <f>VLOOKUP(D427,[1]apoio_Preços_MGS!$A$6:$AN$238,24,FALSE)</f>
        <v>0</v>
      </c>
      <c r="T427" s="40">
        <f>VLOOKUP(D427,[1]apoio_Preços_MGS!$A$6:$AN$238,25,FALSE)</f>
        <v>0</v>
      </c>
      <c r="U427" s="40">
        <f t="shared" si="214"/>
        <v>3910.6845499999999</v>
      </c>
      <c r="V427" s="41">
        <v>0.81799999999999995</v>
      </c>
      <c r="W427" s="40">
        <f t="shared" si="215"/>
        <v>3198.9399618999996</v>
      </c>
      <c r="X427" s="40">
        <f>VLOOKUP(D427,[1]apoio_Preços_MGS!$A$6:$AN$238,29,FALSE)</f>
        <v>59.667499999999997</v>
      </c>
      <c r="Y427" s="40">
        <f>VLOOKUP(D427,[1]apoio_Preços_MGS!$A$6:$AN$238,30,FALSE)</f>
        <v>2.8909090909090907</v>
      </c>
      <c r="Z427" s="40">
        <f t="shared" si="199"/>
        <v>62.558409090909088</v>
      </c>
      <c r="AA427" s="40">
        <f>VLOOKUP(D427,[1]apoio_Preços_MGS!$A$6:$AN$238,32,FALSE)</f>
        <v>7.5085143359999993</v>
      </c>
      <c r="AB427" s="40">
        <f>VLOOKUP(D427,[1]apoio_Preços_MGS!$A$6:$AN$238,33,FALSE)</f>
        <v>0</v>
      </c>
      <c r="AC427" s="41">
        <f>VLOOKUP(D427,[1]apoio_Preços_MGS!$A$6:$AN$238,34,FALSE)</f>
        <v>3.2146832029040541E-2</v>
      </c>
      <c r="AD427" s="40">
        <f>(U427+W427+Z427+AB427+AA427+VLOOKUP(C427,[1]apoio_Prec_Folha!$A:$S,7,FALSE))*AC427</f>
        <v>249.83172300146393</v>
      </c>
      <c r="AE427" s="42">
        <f>VLOOKUP(D427,[1]apoio_Preços_MGS!$A$6:$AN$238,36,FALSE)</f>
        <v>7.0000000000000007E-2</v>
      </c>
      <c r="AF427" s="40">
        <f>(U427+W427+Z427+AB427+AD427+AA427+VLOOKUP(C427,[1]apoio_Prec_Folha!$A:$S,7,FALSE))*AE427</f>
        <v>561.49892108298616</v>
      </c>
      <c r="AG427" s="40">
        <f t="shared" si="200"/>
        <v>7991.02</v>
      </c>
      <c r="AH427" s="43">
        <f t="shared" si="201"/>
        <v>9318.9599999999991</v>
      </c>
      <c r="AI427" s="43">
        <f t="shared" si="202"/>
        <v>456629.04</v>
      </c>
      <c r="AJ427" s="43">
        <f t="shared" si="203"/>
        <v>23744710.079999998</v>
      </c>
      <c r="AK427" s="44">
        <f>VLOOKUP(D427,[1]apoio_Preços_MGS!$A$6:$AN$238,39,FALSE)</f>
        <v>200.00000000000003</v>
      </c>
      <c r="AL427" s="44">
        <f>IF(J427="demais municípios",VLOOKUP(D427,[1]apoio_Preços_MGS!$A$6:$AN$238,39,FALSE),0)</f>
        <v>0</v>
      </c>
      <c r="AM427" s="44">
        <v>0</v>
      </c>
      <c r="AN427" s="45">
        <f t="shared" ref="AN427" si="236">AM427*K427</f>
        <v>0</v>
      </c>
      <c r="AO427" s="44">
        <f>VLOOKUP(D427,[1]apoio_Preços_MGS!$A$6:$AN$238,40,FALSE)</f>
        <v>591.89</v>
      </c>
      <c r="AP427" s="44">
        <f>IF(J427="demais municípios",VLOOKUP(D427,[1]apoio_Preços_MGS!$A$6:$AN$238,40,FALSE),0)</f>
        <v>0</v>
      </c>
      <c r="AQ427" s="44">
        <f>TRUNC(ROUND(($I427)/(1-($I427)),5)*VLOOKUP(D427,[1]apoio_Preços_MGS!$A$6:$AN$238,40,FALSE)+VLOOKUP(D427,[1]apoio_Preços_MGS!$A$6:$AN$238,40,FALSE),2)</f>
        <v>623.04</v>
      </c>
      <c r="AR427" s="45">
        <f t="shared" ref="AR427" si="237">AQ427*K427</f>
        <v>30528.959999999999</v>
      </c>
      <c r="AS427" s="45">
        <f t="shared" si="220"/>
        <v>30528.959999999999</v>
      </c>
      <c r="AT427" s="45">
        <f t="shared" si="221"/>
        <v>1831737.5999999999</v>
      </c>
      <c r="AU427" s="62"/>
      <c r="AV427" s="46"/>
      <c r="AW427" s="47"/>
      <c r="AX427" s="48"/>
      <c r="AY427" s="49"/>
      <c r="BA427" s="48"/>
    </row>
    <row r="428" spans="1:53" ht="19.5" customHeight="1" x14ac:dyDescent="0.25">
      <c r="A428" s="33" t="str">
        <f t="shared" si="216"/>
        <v>105503440,05</v>
      </c>
      <c r="B428" s="33" t="str">
        <f t="shared" si="217"/>
        <v>11770,05</v>
      </c>
      <c r="C428" s="34" t="str">
        <f>VLOOKUP(D428,[1]apoio_Preços_MGS!$A$6:$B$238,2,FALSE)</f>
        <v>MOTORISTA EXECUTIVO</v>
      </c>
      <c r="D428" s="35">
        <v>1177</v>
      </c>
      <c r="E428" s="33" t="str">
        <f>VLOOKUP(D428,[1]apoio_Preços_MGS!$A$6:$F$238,6,FALSE)</f>
        <v>MOTORISTA EXECUTIVO - 12x36 DIURNO - 44H</v>
      </c>
      <c r="F428" s="36">
        <f>IFERROR(VLOOKUP(D428,'[1]apoio_cód catmas'!$B$2:$C$863,2,FALSE),0)</f>
        <v>105503</v>
      </c>
      <c r="G428" s="33" t="str">
        <f>IF(H428="N/A",VLOOKUP(F428&amp;40,'[1]apoio_cód catmas'!$A$1:$G$233,4,FALSE),VLOOKUP(F428&amp;H428,'[1]apoio_cód catmas'!$A$1:$G$233,4,FALSE))</f>
        <v>MOTORISTA EXECUTIVO 12X36 DIURNO - 44 H</v>
      </c>
      <c r="H428" s="36">
        <v>44</v>
      </c>
      <c r="I428" s="37">
        <v>0.05</v>
      </c>
      <c r="J428" s="38" t="s">
        <v>47</v>
      </c>
      <c r="K428" s="39">
        <v>4</v>
      </c>
      <c r="L428" s="39">
        <f t="shared" si="196"/>
        <v>240</v>
      </c>
      <c r="M428" s="40">
        <f>VLOOKUP(D428,[1]apoio_Preços_MGS!$A$6:$AN$238,18,FALSE)</f>
        <v>3910.6845499999999</v>
      </c>
      <c r="N428" s="40">
        <f>VLOOKUP(D428,[1]apoio_Preços_MGS!$A$6:$AN$238,19,FALSE)</f>
        <v>0</v>
      </c>
      <c r="O428" s="40">
        <f>VLOOKUP(D428,[1]apoio_Preços_MGS!$A$6:$AN$238,20,FALSE)</f>
        <v>0</v>
      </c>
      <c r="P428" s="40">
        <f>VLOOKUP(D428,[1]apoio_Preços_MGS!$A$6:$AN$238,21,FALSE)</f>
        <v>0</v>
      </c>
      <c r="Q428" s="40">
        <f>VLOOKUP(D428,[1]apoio_Preços_MGS!$A$6:$AN$238,22,FALSE)</f>
        <v>0</v>
      </c>
      <c r="R428" s="40">
        <f>VLOOKUP(D428,[1]apoio_Preços_MGS!$A$6:$AN$238,23,FALSE)</f>
        <v>0</v>
      </c>
      <c r="S428" s="40">
        <f>VLOOKUP(D428,[1]apoio_Preços_MGS!$A$6:$AN$238,24,FALSE)</f>
        <v>0</v>
      </c>
      <c r="T428" s="40">
        <f>VLOOKUP(D428,[1]apoio_Preços_MGS!$A$6:$AN$238,25,FALSE)</f>
        <v>5.4315063194444448</v>
      </c>
      <c r="U428" s="40">
        <f t="shared" si="214"/>
        <v>3916.1160563194444</v>
      </c>
      <c r="V428" s="41">
        <v>0.81799999999999995</v>
      </c>
      <c r="W428" s="40">
        <f t="shared" si="215"/>
        <v>3203.3829340693055</v>
      </c>
      <c r="X428" s="40">
        <f>VLOOKUP(D428,[1]apoio_Preços_MGS!$A$6:$AN$238,29,FALSE)</f>
        <v>59.667499999999997</v>
      </c>
      <c r="Y428" s="40">
        <f>VLOOKUP(D428,[1]apoio_Preços_MGS!$A$6:$AN$238,30,FALSE)</f>
        <v>2.8909090909090907</v>
      </c>
      <c r="Z428" s="40">
        <f t="shared" si="199"/>
        <v>62.558409090909088</v>
      </c>
      <c r="AA428" s="40">
        <f>VLOOKUP(D428,[1]apoio_Preços_MGS!$A$6:$AN$238,32,FALSE)</f>
        <v>7.5085143359999993</v>
      </c>
      <c r="AB428" s="40">
        <f>VLOOKUP(D428,[1]apoio_Preços_MGS!$A$6:$AN$238,33,FALSE)</f>
        <v>0</v>
      </c>
      <c r="AC428" s="41">
        <f>VLOOKUP(D428,[1]apoio_Preços_MGS!$A$6:$AN$238,34,FALSE)</f>
        <v>3.2146832029040541E-2</v>
      </c>
      <c r="AD428" s="40">
        <f>(U428+W428+Z428+AB428+AA428+VLOOKUP(C428,[1]apoio_Prec_Folha!$A:$S,7,FALSE))*AC428</f>
        <v>250.14915620281616</v>
      </c>
      <c r="AE428" s="42">
        <f>VLOOKUP(D428,[1]apoio_Preços_MGS!$A$6:$AN$238,36,FALSE)</f>
        <v>7.0000000000000007E-2</v>
      </c>
      <c r="AF428" s="40">
        <f>(U428+W428+Z428+AB428+AD428+AA428+VLOOKUP(C428,[1]apoio_Prec_Folha!$A:$S,7,FALSE))*AE428</f>
        <v>562.21235490129334</v>
      </c>
      <c r="AG428" s="40">
        <f t="shared" si="200"/>
        <v>8001.92</v>
      </c>
      <c r="AH428" s="43">
        <f t="shared" si="201"/>
        <v>9331.67</v>
      </c>
      <c r="AI428" s="43">
        <f t="shared" si="202"/>
        <v>37326.68</v>
      </c>
      <c r="AJ428" s="43">
        <f t="shared" si="203"/>
        <v>2239600.7999999998</v>
      </c>
      <c r="AK428" s="44">
        <f>VLOOKUP(D428,[1]apoio_Preços_MGS!$A$6:$AN$238,39,FALSE)</f>
        <v>200.00000000000003</v>
      </c>
      <c r="AL428" s="44">
        <f>IF(J428="demais municípios",VLOOKUP(D428,[1]apoio_Preços_MGS!$A$6:$AN$238,39,FALSE),0)</f>
        <v>0</v>
      </c>
      <c r="AM428" s="44">
        <v>0</v>
      </c>
      <c r="AN428" s="45">
        <f t="shared" si="222"/>
        <v>0</v>
      </c>
      <c r="AO428" s="44">
        <f>VLOOKUP(D428,[1]apoio_Preços_MGS!$A$6:$AN$238,40,FALSE)</f>
        <v>591.89</v>
      </c>
      <c r="AP428" s="44">
        <f>IF(J428="demais municípios",VLOOKUP(D428,[1]apoio_Preços_MGS!$A$6:$AN$238,40,FALSE),0)</f>
        <v>0</v>
      </c>
      <c r="AQ428" s="44">
        <f>TRUNC(ROUND(($I428)/(1-($I428)),5)*VLOOKUP(D428,[1]apoio_Preços_MGS!$A$6:$AN$238,40,FALSE)+VLOOKUP(D428,[1]apoio_Preços_MGS!$A$6:$AN$238,40,FALSE),2)</f>
        <v>623.04</v>
      </c>
      <c r="AR428" s="45">
        <f t="shared" si="223"/>
        <v>2492.16</v>
      </c>
      <c r="AS428" s="45">
        <f t="shared" si="220"/>
        <v>2492.16</v>
      </c>
      <c r="AT428" s="45">
        <f t="shared" si="221"/>
        <v>149529.59999999998</v>
      </c>
      <c r="AU428" s="62"/>
      <c r="AV428" s="46"/>
      <c r="AW428" s="47"/>
      <c r="AX428" s="48"/>
      <c r="AY428" s="49"/>
      <c r="BA428" s="48"/>
    </row>
    <row r="429" spans="1:53" ht="19.5" customHeight="1" x14ac:dyDescent="0.25">
      <c r="A429" s="33" t="str">
        <f t="shared" si="216"/>
        <v>65471400,05</v>
      </c>
      <c r="B429" s="33" t="str">
        <f t="shared" si="217"/>
        <v>3180,05</v>
      </c>
      <c r="C429" s="34" t="str">
        <f>VLOOKUP(D429,[1]apoio_Preços_MGS!$A$6:$B$238,2,FALSE)</f>
        <v>OPERADOR DE ACABAMENTO GRÁFICO</v>
      </c>
      <c r="D429" s="35">
        <v>318</v>
      </c>
      <c r="E429" s="33" t="str">
        <f>VLOOKUP(D429,[1]apoio_Preços_MGS!$A$6:$F$238,6,FALSE)</f>
        <v>OPERADOR DE ACABAMENTO GRÁFICO - DIARISTA DIURNO - 40H</v>
      </c>
      <c r="F429" s="36">
        <f>IFERROR(VLOOKUP(D429,'[1]apoio_cód catmas'!$B$2:$C$863,2,FALSE),0)</f>
        <v>65471</v>
      </c>
      <c r="G429" s="33" t="str">
        <f>IF(H429="N/A",VLOOKUP(F429&amp;40,'[1]apoio_cód catmas'!$A$1:$G$233,4,FALSE),VLOOKUP(F429&amp;H429,'[1]apoio_cód catmas'!$A$1:$G$233,4,FALSE))</f>
        <v>OPERADOR DE ACABAMENTO GRAFICO - 30H, 36H, 40H OU 44H</v>
      </c>
      <c r="H429" s="36">
        <v>40</v>
      </c>
      <c r="I429" s="37">
        <v>0.05</v>
      </c>
      <c r="J429" s="38" t="s">
        <v>47</v>
      </c>
      <c r="K429" s="39">
        <v>5</v>
      </c>
      <c r="L429" s="39">
        <f t="shared" si="196"/>
        <v>300</v>
      </c>
      <c r="M429" s="40">
        <f>VLOOKUP(D429,[1]apoio_Preços_MGS!$A$6:$AN$238,18,FALSE)</f>
        <v>2377.7441250000002</v>
      </c>
      <c r="N429" s="40">
        <f>VLOOKUP(D429,[1]apoio_Preços_MGS!$A$6:$AN$238,19,FALSE)</f>
        <v>0</v>
      </c>
      <c r="O429" s="40">
        <f>VLOOKUP(D429,[1]apoio_Preços_MGS!$A$6:$AN$238,20,FALSE)</f>
        <v>0</v>
      </c>
      <c r="P429" s="40">
        <f>VLOOKUP(D429,[1]apoio_Preços_MGS!$A$6:$AN$238,21,FALSE)</f>
        <v>0</v>
      </c>
      <c r="Q429" s="40">
        <f>VLOOKUP(D429,[1]apoio_Preços_MGS!$A$6:$AN$238,22,FALSE)</f>
        <v>0</v>
      </c>
      <c r="R429" s="40">
        <f>VLOOKUP(D429,[1]apoio_Preços_MGS!$A$6:$AN$238,23,FALSE)</f>
        <v>0</v>
      </c>
      <c r="S429" s="40">
        <f>VLOOKUP(D429,[1]apoio_Preços_MGS!$A$6:$AN$238,24,FALSE)</f>
        <v>0</v>
      </c>
      <c r="T429" s="40">
        <f>VLOOKUP(D429,[1]apoio_Preços_MGS!$A$6:$AN$238,25,FALSE)</f>
        <v>0</v>
      </c>
      <c r="U429" s="40">
        <f t="shared" si="214"/>
        <v>2377.7441250000002</v>
      </c>
      <c r="V429" s="41">
        <v>0.81799999999999995</v>
      </c>
      <c r="W429" s="40">
        <f t="shared" si="215"/>
        <v>1944.9946942500001</v>
      </c>
      <c r="X429" s="40">
        <f>VLOOKUP(D429,[1]apoio_Preços_MGS!$A$6:$AN$238,29,FALSE)</f>
        <v>19.18</v>
      </c>
      <c r="Y429" s="40">
        <f>VLOOKUP(D429,[1]apoio_Preços_MGS!$A$6:$AN$238,30,FALSE)</f>
        <v>41.902727272727276</v>
      </c>
      <c r="Z429" s="40">
        <f t="shared" si="199"/>
        <v>61.082727272727276</v>
      </c>
      <c r="AA429" s="40">
        <f>VLOOKUP(D429,[1]apoio_Preços_MGS!$A$6:$AN$238,32,FALSE)</f>
        <v>4.5652687199999997</v>
      </c>
      <c r="AB429" s="40">
        <f>VLOOKUP(D429,[1]apoio_Preços_MGS!$A$6:$AN$238,33,FALSE)</f>
        <v>201.19636363636366</v>
      </c>
      <c r="AC429" s="41">
        <f>VLOOKUP(D429,[1]apoio_Preços_MGS!$A$6:$AN$238,34,FALSE)</f>
        <v>3.3073705405314215E-2</v>
      </c>
      <c r="AD429" s="40">
        <f>(U429+W429+Z429+AB429+AA429+VLOOKUP(C429,[1]apoio_Prec_Folha!$A:$S,7,FALSE))*AC429</f>
        <v>170.03731641889581</v>
      </c>
      <c r="AE429" s="42">
        <f>VLOOKUP(D429,[1]apoio_Preços_MGS!$A$6:$AN$238,36,FALSE)</f>
        <v>7.0000000000000007E-2</v>
      </c>
      <c r="AF429" s="40">
        <f>(U429+W429+Z429+AB429+AD429+AA429+VLOOKUP(C429,[1]apoio_Prec_Folha!$A:$S,7,FALSE))*AE429</f>
        <v>371.78403467085911</v>
      </c>
      <c r="AG429" s="40">
        <f t="shared" si="200"/>
        <v>5131.3999999999996</v>
      </c>
      <c r="AH429" s="43">
        <f t="shared" si="201"/>
        <v>5984.13</v>
      </c>
      <c r="AI429" s="43">
        <f t="shared" si="202"/>
        <v>29920.65</v>
      </c>
      <c r="AJ429" s="43">
        <f t="shared" si="203"/>
        <v>1795239</v>
      </c>
      <c r="AK429" s="44">
        <f>VLOOKUP(D429,[1]apoio_Preços_MGS!$A$6:$AN$238,39,FALSE)</f>
        <v>181.81818181818184</v>
      </c>
      <c r="AL429" s="44">
        <f>IF(J429="demais municípios",VLOOKUP(D429,[1]apoio_Preços_MGS!$A$6:$AN$238,39,FALSE),0)</f>
        <v>0</v>
      </c>
      <c r="AM429" s="44">
        <f>TRUNC(ROUND(($I429)/(1-($I429)),5)*VLOOKUP(D429,[1]apoio_Preços_MGS!$A$6:$AN$238,39,FALSE)+VLOOKUP(D429,[1]apoio_Preços_MGS!$A$6:$AN$238,39,FALSE),2)</f>
        <v>191.38</v>
      </c>
      <c r="AN429" s="45">
        <f t="shared" si="222"/>
        <v>956.9</v>
      </c>
      <c r="AO429" s="44">
        <f>VLOOKUP(D429,[1]apoio_Preços_MGS!$A$6:$AN$238,40,FALSE)</f>
        <v>551.58000000000004</v>
      </c>
      <c r="AP429" s="44">
        <f>IF(J429="demais municípios",VLOOKUP(D429,[1]apoio_Preços_MGS!$A$6:$AN$238,40,FALSE),0)</f>
        <v>0</v>
      </c>
      <c r="AQ429" s="44">
        <f>TRUNC(ROUND(($I429)/(1-($I429)),5)*VLOOKUP(D429,[1]apoio_Preços_MGS!$A$6:$AN$238,40,FALSE)+VLOOKUP(D429,[1]apoio_Preços_MGS!$A$6:$AN$238,40,FALSE),2)</f>
        <v>580.6</v>
      </c>
      <c r="AR429" s="45">
        <f t="shared" si="223"/>
        <v>2903</v>
      </c>
      <c r="AS429" s="45">
        <f t="shared" si="220"/>
        <v>3859.9</v>
      </c>
      <c r="AT429" s="45">
        <f t="shared" si="221"/>
        <v>231594</v>
      </c>
      <c r="AU429" s="62"/>
      <c r="AV429" s="46"/>
      <c r="AW429" s="47"/>
      <c r="AX429" s="48"/>
      <c r="AY429" s="49"/>
      <c r="BA429" s="48"/>
    </row>
    <row r="430" spans="1:53" ht="19.5" customHeight="1" x14ac:dyDescent="0.25">
      <c r="A430" s="33" t="str">
        <f t="shared" si="216"/>
        <v>129054440,05</v>
      </c>
      <c r="B430" s="33" t="str">
        <f t="shared" si="217"/>
        <v>14310,05</v>
      </c>
      <c r="C430" s="34" t="str">
        <f>VLOOKUP(D430,[1]apoio_Preços_MGS!$A$6:$B$238,2,FALSE)</f>
        <v>OPERADOR DE CALDEIRA</v>
      </c>
      <c r="D430" s="35">
        <v>1431</v>
      </c>
      <c r="E430" s="33" t="str">
        <f>VLOOKUP(D430,[1]apoio_Preços_MGS!$A$6:$F$238,6,FALSE)</f>
        <v>OPERADOR DE CALDEIRA - (PERIC.) - 12x36 NOTURNO - 44H</v>
      </c>
      <c r="F430" s="36">
        <f>IFERROR(VLOOKUP(D430,'[1]apoio_cód catmas'!$B$2:$C$863,2,FALSE),0)</f>
        <v>129054</v>
      </c>
      <c r="G430" s="33" t="str">
        <f>IF(H430="N/A",VLOOKUP(F430&amp;40,'[1]apoio_cód catmas'!$A$1:$G$233,4,FALSE),VLOOKUP(F430&amp;H430,'[1]apoio_cód catmas'!$A$1:$G$233,4,FALSE))</f>
        <v>OPERADOR DE CALDEIRA - (PERICULOSIDADE) - 12x36 NOTURNO - 44 H</v>
      </c>
      <c r="H430" s="36">
        <v>44</v>
      </c>
      <c r="I430" s="37">
        <v>0.05</v>
      </c>
      <c r="J430" s="38" t="s">
        <v>47</v>
      </c>
      <c r="K430" s="39">
        <v>2</v>
      </c>
      <c r="L430" s="39">
        <f t="shared" si="196"/>
        <v>120</v>
      </c>
      <c r="M430" s="40">
        <f>VLOOKUP(D430,[1]apoio_Preços_MGS!$A$6:$AN$238,18,FALSE)</f>
        <v>2604.5583750000001</v>
      </c>
      <c r="N430" s="40">
        <f>VLOOKUP(D430,[1]apoio_Preços_MGS!$A$6:$AN$238,19,FALSE)</f>
        <v>781.36751249999998</v>
      </c>
      <c r="O430" s="40">
        <f>VLOOKUP(D430,[1]apoio_Preços_MGS!$A$6:$AN$238,20,FALSE)</f>
        <v>788.7834598544506</v>
      </c>
      <c r="P430" s="40">
        <f>VLOOKUP(D430,[1]apoio_Preços_MGS!$A$6:$AN$238,21,FALSE)</f>
        <v>17.21793192523792</v>
      </c>
      <c r="Q430" s="40">
        <f>VLOOKUP(D430,[1]apoio_Preços_MGS!$A$6:$AN$238,22,FALSE)</f>
        <v>64.567225349468771</v>
      </c>
      <c r="R430" s="40">
        <f>VLOOKUP(D430,[1]apoio_Preços_MGS!$A$6:$AN$238,23,FALSE)</f>
        <v>0</v>
      </c>
      <c r="S430" s="40">
        <f>VLOOKUP(D430,[1]apoio_Preços_MGS!$A$6:$AN$238,24,FALSE)</f>
        <v>0</v>
      </c>
      <c r="T430" s="40">
        <f>VLOOKUP(D430,[1]apoio_Preços_MGS!$A$6:$AN$238,25,FALSE)</f>
        <v>4.7026748437500006</v>
      </c>
      <c r="U430" s="40">
        <f t="shared" si="214"/>
        <v>4261.1971794729079</v>
      </c>
      <c r="V430" s="41">
        <v>0.81799999999999995</v>
      </c>
      <c r="W430" s="40">
        <f t="shared" si="215"/>
        <v>3485.6592928088385</v>
      </c>
      <c r="X430" s="40">
        <f>VLOOKUP(D430,[1]apoio_Preços_MGS!$A$6:$AN$238,29,FALSE)</f>
        <v>19.18</v>
      </c>
      <c r="Y430" s="40">
        <f>VLOOKUP(D430,[1]apoio_Preços_MGS!$A$6:$AN$238,30,FALSE)</f>
        <v>20.554545454545458</v>
      </c>
      <c r="Z430" s="40">
        <f t="shared" si="199"/>
        <v>39.734545454545454</v>
      </c>
      <c r="AA430" s="40">
        <f>VLOOKUP(D430,[1]apoio_Preços_MGS!$A$6:$AN$238,32,FALSE)</f>
        <v>5.0007520799999998</v>
      </c>
      <c r="AB430" s="40">
        <f>VLOOKUP(D430,[1]apoio_Preços_MGS!$A$6:$AN$238,33,FALSE)</f>
        <v>198.00986666666668</v>
      </c>
      <c r="AC430" s="41">
        <f>VLOOKUP(D430,[1]apoio_Preços_MGS!$A$6:$AN$238,34,FALSE)</f>
        <v>3.3100764345549122E-2</v>
      </c>
      <c r="AD430" s="40">
        <f>(U430+W430+Z430+AB430+AA430+VLOOKUP(C430,[1]apoio_Prec_Folha!$A:$S,7,FALSE))*AC430</f>
        <v>282.71964058175405</v>
      </c>
      <c r="AE430" s="42">
        <f>VLOOKUP(D430,[1]apoio_Preços_MGS!$A$6:$AN$238,36,FALSE)</f>
        <v>7.0000000000000007E-2</v>
      </c>
      <c r="AF430" s="40">
        <f>(U430+W430+Z430+AB430+AD430+AA430+VLOOKUP(C430,[1]apoio_Prec_Folha!$A:$S,7,FALSE))*AE430</f>
        <v>617.67308939452994</v>
      </c>
      <c r="AG430" s="40">
        <f t="shared" si="200"/>
        <v>8889.99</v>
      </c>
      <c r="AH430" s="43">
        <f t="shared" si="201"/>
        <v>10367.32</v>
      </c>
      <c r="AI430" s="43">
        <f t="shared" si="202"/>
        <v>20734.64</v>
      </c>
      <c r="AJ430" s="43">
        <f t="shared" si="203"/>
        <v>1244078.3999999999</v>
      </c>
      <c r="AK430" s="44">
        <f>VLOOKUP(D430,[1]apoio_Preços_MGS!$A$6:$AN$238,39,FALSE)</f>
        <v>200.00000000000003</v>
      </c>
      <c r="AL430" s="44">
        <f>IF(J430="demais municípios",VLOOKUP(D430,[1]apoio_Preços_MGS!$A$6:$AN$238,39,FALSE),0)</f>
        <v>0</v>
      </c>
      <c r="AM430" s="44">
        <f>TRUNC(ROUND(($I430)/(1-($I430)),5)*VLOOKUP(D430,[1]apoio_Preços_MGS!$A$6:$AN$238,39,FALSE)+VLOOKUP(D430,[1]apoio_Preços_MGS!$A$6:$AN$238,39,FALSE),2)</f>
        <v>210.52</v>
      </c>
      <c r="AN430" s="45">
        <f t="shared" si="222"/>
        <v>421.04</v>
      </c>
      <c r="AO430" s="44">
        <f>VLOOKUP(D430,[1]apoio_Preços_MGS!$A$6:$AN$238,40,FALSE)</f>
        <v>551.58000000000004</v>
      </c>
      <c r="AP430" s="44">
        <f>IF(J430="demais municípios",VLOOKUP(D430,[1]apoio_Preços_MGS!$A$6:$AN$238,40,FALSE),0)</f>
        <v>0</v>
      </c>
      <c r="AQ430" s="44">
        <f>TRUNC(ROUND(($I430)/(1-($I430)),5)*VLOOKUP(D430,[1]apoio_Preços_MGS!$A$6:$AN$238,40,FALSE)+VLOOKUP(D430,[1]apoio_Preços_MGS!$A$6:$AN$238,40,FALSE),2)</f>
        <v>580.6</v>
      </c>
      <c r="AR430" s="45">
        <f t="shared" si="223"/>
        <v>1161.2</v>
      </c>
      <c r="AS430" s="45">
        <f t="shared" si="220"/>
        <v>1582.24</v>
      </c>
      <c r="AT430" s="45">
        <f t="shared" si="221"/>
        <v>94934.399999999994</v>
      </c>
      <c r="AU430" s="62"/>
      <c r="AV430" s="46"/>
      <c r="AW430" s="47"/>
      <c r="AX430" s="48"/>
      <c r="AY430" s="49"/>
      <c r="BA430" s="48"/>
    </row>
    <row r="431" spans="1:53" ht="19.5" customHeight="1" x14ac:dyDescent="0.25">
      <c r="A431" s="33" t="str">
        <f t="shared" si="216"/>
        <v>63428440,05</v>
      </c>
      <c r="B431" s="33" t="str">
        <f t="shared" si="217"/>
        <v>1160,05</v>
      </c>
      <c r="C431" s="34" t="str">
        <f>VLOOKUP(D431,[1]apoio_Preços_MGS!$A$6:$B$238,2,FALSE)</f>
        <v>OPERADOR DE CALDEIRA</v>
      </c>
      <c r="D431" s="35">
        <v>116</v>
      </c>
      <c r="E431" s="33" t="str">
        <f>VLOOKUP(D431,[1]apoio_Preços_MGS!$A$6:$F$238,6,FALSE)</f>
        <v>OPERADOR DE CALDEIRA - (PERIC.) - 12x36 DIURNO - 44H</v>
      </c>
      <c r="F431" s="36">
        <f>IFERROR(VLOOKUP(D431,'[1]apoio_cód catmas'!$B$2:$C$863,2,FALSE),0)</f>
        <v>63428</v>
      </c>
      <c r="G431" s="33" t="str">
        <f>IF(H431="N/A",VLOOKUP(F431&amp;40,'[1]apoio_cód catmas'!$A$1:$G$233,4,FALSE),VLOOKUP(F431&amp;H431,'[1]apoio_cód catmas'!$A$1:$G$233,4,FALSE))</f>
        <v>OPERADOR DE CALDEIRA - 12X36 DIURNO (PERICULOSIDADE) - 44H</v>
      </c>
      <c r="H431" s="36">
        <v>44</v>
      </c>
      <c r="I431" s="37">
        <v>0.05</v>
      </c>
      <c r="J431" s="38" t="s">
        <v>47</v>
      </c>
      <c r="K431" s="39">
        <v>10</v>
      </c>
      <c r="L431" s="39">
        <f t="shared" ref="L431:L507" si="238">K431*60</f>
        <v>600</v>
      </c>
      <c r="M431" s="40">
        <f>VLOOKUP(D431,[1]apoio_Preços_MGS!$A$6:$AN$238,18,FALSE)</f>
        <v>2604.5583750000001</v>
      </c>
      <c r="N431" s="40">
        <f>VLOOKUP(D431,[1]apoio_Preços_MGS!$A$6:$AN$238,19,FALSE)</f>
        <v>781.36751249999998</v>
      </c>
      <c r="O431" s="40">
        <f>VLOOKUP(D431,[1]apoio_Preços_MGS!$A$6:$AN$238,20,FALSE)</f>
        <v>0</v>
      </c>
      <c r="P431" s="40">
        <f>VLOOKUP(D431,[1]apoio_Preços_MGS!$A$6:$AN$238,21,FALSE)</f>
        <v>0</v>
      </c>
      <c r="Q431" s="40">
        <f>VLOOKUP(D431,[1]apoio_Preços_MGS!$A$6:$AN$238,22,FALSE)</f>
        <v>0</v>
      </c>
      <c r="R431" s="40">
        <f>VLOOKUP(D431,[1]apoio_Preços_MGS!$A$6:$AN$238,23,FALSE)</f>
        <v>0</v>
      </c>
      <c r="S431" s="40">
        <f>VLOOKUP(D431,[1]apoio_Preços_MGS!$A$6:$AN$238,24,FALSE)</f>
        <v>0</v>
      </c>
      <c r="T431" s="40">
        <f>VLOOKUP(D431,[1]apoio_Preços_MGS!$A$6:$AN$238,25,FALSE)</f>
        <v>4.7026748437500006</v>
      </c>
      <c r="U431" s="40">
        <f t="shared" si="214"/>
        <v>3390.6285623437502</v>
      </c>
      <c r="V431" s="41">
        <f>VLOOKUP(D431,[1]apoio_Preços_MGS!$A$6:$AN$238,27,FALSE)</f>
        <v>0.81799999999999995</v>
      </c>
      <c r="W431" s="40">
        <f t="shared" si="215"/>
        <v>2773.5341639971875</v>
      </c>
      <c r="X431" s="40">
        <f>VLOOKUP(D431,[1]apoio_Preços_MGS!$A$6:$AN$238,29,FALSE)</f>
        <v>19.18</v>
      </c>
      <c r="Y431" s="40">
        <f>VLOOKUP(D431,[1]apoio_Preços_MGS!$A$6:$AN$238,30,FALSE)</f>
        <v>20.554545454545458</v>
      </c>
      <c r="Z431" s="40">
        <f t="shared" si="199"/>
        <v>39.734545454545454</v>
      </c>
      <c r="AA431" s="40">
        <f>VLOOKUP(D431,[1]apoio_Preços_MGS!$A$6:$AN$238,32,FALSE)</f>
        <v>5.0007520799999998</v>
      </c>
      <c r="AB431" s="40">
        <f>VLOOKUP(D431,[1]apoio_Preços_MGS!$A$6:$AN$238,33,FALSE)</f>
        <v>198.00986666666668</v>
      </c>
      <c r="AC431" s="41">
        <f>VLOOKUP(D431,[1]apoio_Preços_MGS!$A$6:$AN$238,34,FALSE)</f>
        <v>3.3100764345549122E-2</v>
      </c>
      <c r="AD431" s="40">
        <f>(U431+W431+Z431+AB431+AA431+VLOOKUP(C431,[1]apoio_Prec_Folha!$A:$S,7,FALSE))*AC431</f>
        <v>230.33126786619289</v>
      </c>
      <c r="AE431" s="42">
        <f>VLOOKUP(D431,[1]apoio_Preços_MGS!$A$6:$AN$238,36,FALSE)</f>
        <v>7.0000000000000007E-2</v>
      </c>
      <c r="AF431" s="40">
        <f>(U431+W431+Z431+AB431+AD431+AA431+VLOOKUP(C431,[1]apoio_Prec_Folha!$A:$S,7,FALSE))*AE431</f>
        <v>503.21734108858402</v>
      </c>
      <c r="AG431" s="40">
        <f t="shared" si="200"/>
        <v>7140.45</v>
      </c>
      <c r="AH431" s="43">
        <f t="shared" si="201"/>
        <v>8327.0400000000009</v>
      </c>
      <c r="AI431" s="43">
        <f t="shared" si="202"/>
        <v>83270.400000000009</v>
      </c>
      <c r="AJ431" s="43">
        <f t="shared" si="203"/>
        <v>4996224.0000000009</v>
      </c>
      <c r="AK431" s="44">
        <f>VLOOKUP(D431,[1]apoio_Preços_MGS!$A$6:$AN$238,39,FALSE)</f>
        <v>200.00000000000003</v>
      </c>
      <c r="AL431" s="44">
        <f>IF(J431="demais municípios",VLOOKUP(D431,[1]apoio_Preços_MGS!$A$6:$AN$238,39,FALSE),0)</f>
        <v>0</v>
      </c>
      <c r="AM431" s="44">
        <f>TRUNC(ROUND(($I431)/(1-($I431)),5)*VLOOKUP(D431,[1]apoio_Preços_MGS!$A$6:$AN$238,39,FALSE)+VLOOKUP(D431,[1]apoio_Preços_MGS!$A$6:$AN$238,39,FALSE),2)</f>
        <v>210.52</v>
      </c>
      <c r="AN431" s="45">
        <f t="shared" si="222"/>
        <v>2105.2000000000003</v>
      </c>
      <c r="AO431" s="44">
        <f>VLOOKUP(D431,[1]apoio_Preços_MGS!$A$6:$AN$238,40,FALSE)</f>
        <v>551.58000000000004</v>
      </c>
      <c r="AP431" s="44">
        <f>IF(J431="demais municípios",VLOOKUP(D431,[1]apoio_Preços_MGS!$A$6:$AN$238,40,FALSE),0)</f>
        <v>0</v>
      </c>
      <c r="AQ431" s="44">
        <f>TRUNC(ROUND(($I431)/(1-($I431)),5)*VLOOKUP(D431,[1]apoio_Preços_MGS!$A$6:$AN$238,40,FALSE)+VLOOKUP(D431,[1]apoio_Preços_MGS!$A$6:$AN$238,40,FALSE),2)</f>
        <v>580.6</v>
      </c>
      <c r="AR431" s="45">
        <f t="shared" si="223"/>
        <v>5806</v>
      </c>
      <c r="AS431" s="45">
        <f t="shared" si="220"/>
        <v>7911.2000000000007</v>
      </c>
      <c r="AT431" s="45">
        <f t="shared" si="221"/>
        <v>474672.00000000006</v>
      </c>
      <c r="AU431" s="62"/>
      <c r="AV431" s="46"/>
      <c r="AW431" s="47"/>
      <c r="AX431" s="48"/>
      <c r="AY431" s="49"/>
      <c r="BA431" s="48"/>
    </row>
    <row r="432" spans="1:53" ht="19.5" customHeight="1" x14ac:dyDescent="0.25">
      <c r="A432" s="33" t="str">
        <f t="shared" si="216"/>
        <v>64408440,05</v>
      </c>
      <c r="B432" s="33" t="str">
        <f t="shared" si="217"/>
        <v>1130,05</v>
      </c>
      <c r="C432" s="34" t="str">
        <f>VLOOKUP(D432,[1]apoio_Preços_MGS!$A$6:$B$238,2,FALSE)</f>
        <v>OPERADOR DE CALDEIRA</v>
      </c>
      <c r="D432" s="35">
        <v>113</v>
      </c>
      <c r="E432" s="33" t="str">
        <f>VLOOKUP(D432,[1]apoio_Preços_MGS!$A$6:$F$238,6,FALSE)</f>
        <v>OPERADOR DE CALDEIRA - (PERIC.) - DIARISTA DIURNO - 44H</v>
      </c>
      <c r="F432" s="36">
        <f>IFERROR(VLOOKUP(D432,'[1]apoio_cód catmas'!$B$2:$C$863,2,FALSE),0)</f>
        <v>64408</v>
      </c>
      <c r="G432" s="33" t="str">
        <f>IF(H432="N/A",VLOOKUP(F432&amp;40,'[1]apoio_cód catmas'!$A$1:$G$233,4,FALSE),VLOOKUP(F432&amp;H432,'[1]apoio_cód catmas'!$A$1:$G$233,4,FALSE))</f>
        <v>OPERADOR DE CALDEIRA (PERICULOSIDADE) - 44H</v>
      </c>
      <c r="H432" s="36">
        <v>44</v>
      </c>
      <c r="I432" s="37">
        <v>0.05</v>
      </c>
      <c r="J432" s="38" t="s">
        <v>47</v>
      </c>
      <c r="K432" s="39">
        <v>2</v>
      </c>
      <c r="L432" s="39">
        <f t="shared" si="238"/>
        <v>120</v>
      </c>
      <c r="M432" s="40">
        <f>VLOOKUP(D432,[1]apoio_Preços_MGS!$A$6:$AN$238,18,FALSE)</f>
        <v>2604.5583750000001</v>
      </c>
      <c r="N432" s="40">
        <f>VLOOKUP(D432,[1]apoio_Preços_MGS!$A$6:$AN$238,19,FALSE)</f>
        <v>781.36751249999998</v>
      </c>
      <c r="O432" s="40">
        <f>VLOOKUP(D432,[1]apoio_Preços_MGS!$A$6:$AN$238,20,FALSE)</f>
        <v>0</v>
      </c>
      <c r="P432" s="40">
        <f>VLOOKUP(D432,[1]apoio_Preços_MGS!$A$6:$AN$238,21,FALSE)</f>
        <v>0</v>
      </c>
      <c r="Q432" s="40">
        <f>VLOOKUP(D432,[1]apoio_Preços_MGS!$A$6:$AN$238,22,FALSE)</f>
        <v>0</v>
      </c>
      <c r="R432" s="40">
        <f>VLOOKUP(D432,[1]apoio_Preços_MGS!$A$6:$AN$238,23,FALSE)</f>
        <v>0</v>
      </c>
      <c r="S432" s="40">
        <f>VLOOKUP(D432,[1]apoio_Preços_MGS!$A$6:$AN$238,24,FALSE)</f>
        <v>0</v>
      </c>
      <c r="T432" s="40">
        <f>VLOOKUP(D432,[1]apoio_Preços_MGS!$A$6:$AN$238,25,FALSE)</f>
        <v>0</v>
      </c>
      <c r="U432" s="40">
        <f t="shared" si="214"/>
        <v>3385.9258875</v>
      </c>
      <c r="V432" s="41">
        <f>VLOOKUP(D432,[1]apoio_Preços_MGS!$A$6:$AN$238,27,FALSE)</f>
        <v>0.81799999999999995</v>
      </c>
      <c r="W432" s="40">
        <f t="shared" si="215"/>
        <v>2769.6873759749997</v>
      </c>
      <c r="X432" s="40">
        <f>VLOOKUP(D432,[1]apoio_Preços_MGS!$A$6:$AN$238,29,FALSE)</f>
        <v>19.18</v>
      </c>
      <c r="Y432" s="40">
        <f>VLOOKUP(D432,[1]apoio_Preços_MGS!$A$6:$AN$238,30,FALSE)</f>
        <v>20.554545454545458</v>
      </c>
      <c r="Z432" s="40">
        <f t="shared" ref="Z432:Z511" si="239">Y432+X432</f>
        <v>39.734545454545454</v>
      </c>
      <c r="AA432" s="40">
        <f>VLOOKUP(D432,[1]apoio_Preços_MGS!$A$6:$AN$238,32,FALSE)</f>
        <v>5.0007520799999998</v>
      </c>
      <c r="AB432" s="40">
        <f>VLOOKUP(D432,[1]apoio_Preços_MGS!$A$6:$AN$238,33,FALSE)</f>
        <v>198.00986666666668</v>
      </c>
      <c r="AC432" s="41">
        <f>VLOOKUP(D432,[1]apoio_Preços_MGS!$A$6:$AN$238,34,FALSE)</f>
        <v>3.3100764345549122E-2</v>
      </c>
      <c r="AD432" s="40">
        <f>(U432+W432+Z432+AB432+AA432+VLOOKUP(C432,[1]apoio_Prec_Folha!$A:$S,7,FALSE))*AC432</f>
        <v>230.04827411058645</v>
      </c>
      <c r="AE432" s="42">
        <f>VLOOKUP(D432,[1]apoio_Preços_MGS!$A$6:$AN$238,36,FALSE)</f>
        <v>7.0000000000000007E-2</v>
      </c>
      <c r="AF432" s="40">
        <f>(U432+W432+Z432+AB432+AD432+AA432+VLOOKUP(C432,[1]apoio_Prec_Folha!$A:$S,7,FALSE))*AE432</f>
        <v>502.59906912507586</v>
      </c>
      <c r="AG432" s="40">
        <f t="shared" ref="AG432:AG511" si="240">TRUNC(U432+W432+Z432+AB432+AA432+AD432+AF432,2)</f>
        <v>7131</v>
      </c>
      <c r="AH432" s="43">
        <f t="shared" ref="AH432:AH511" si="241">TRUNC($AG432*ROUND((7.6%+1.65%+$I432)/(1-(7.6%+1.65%+$I432)),5)+$AG432,2)</f>
        <v>8316.02</v>
      </c>
      <c r="AI432" s="43">
        <f t="shared" ref="AI432:AI511" si="242">AH432*K432</f>
        <v>16632.04</v>
      </c>
      <c r="AJ432" s="43">
        <f t="shared" ref="AJ432:AJ511" si="243">AH432*L432</f>
        <v>997922.4</v>
      </c>
      <c r="AK432" s="44">
        <f>VLOOKUP(D432,[1]apoio_Preços_MGS!$A$6:$AN$238,39,FALSE)</f>
        <v>200.00000000000003</v>
      </c>
      <c r="AL432" s="44">
        <f>IF(J432="demais municípios",VLOOKUP(D432,[1]apoio_Preços_MGS!$A$6:$AN$238,39,FALSE),0)</f>
        <v>0</v>
      </c>
      <c r="AM432" s="44">
        <f>TRUNC(ROUND(($I432)/(1-($I432)),5)*VLOOKUP(D432,[1]apoio_Preços_MGS!$A$6:$AN$238,39,FALSE)+VLOOKUP(D432,[1]apoio_Preços_MGS!$A$6:$AN$238,39,FALSE),2)</f>
        <v>210.52</v>
      </c>
      <c r="AN432" s="45">
        <f t="shared" si="222"/>
        <v>421.04</v>
      </c>
      <c r="AO432" s="44">
        <f>VLOOKUP(D432,[1]apoio_Preços_MGS!$A$6:$AN$238,40,FALSE)</f>
        <v>551.58000000000004</v>
      </c>
      <c r="AP432" s="44">
        <f>IF(J432="demais municípios",VLOOKUP(D432,[1]apoio_Preços_MGS!$A$6:$AN$238,40,FALSE),0)</f>
        <v>0</v>
      </c>
      <c r="AQ432" s="44">
        <f>TRUNC(ROUND(($I432)/(1-($I432)),5)*VLOOKUP(D432,[1]apoio_Preços_MGS!$A$6:$AN$238,40,FALSE)+VLOOKUP(D432,[1]apoio_Preços_MGS!$A$6:$AN$238,40,FALSE),2)</f>
        <v>580.6</v>
      </c>
      <c r="AR432" s="45">
        <f t="shared" si="223"/>
        <v>1161.2</v>
      </c>
      <c r="AS432" s="45">
        <f t="shared" si="220"/>
        <v>1582.24</v>
      </c>
      <c r="AT432" s="45">
        <f t="shared" si="221"/>
        <v>94934.399999999994</v>
      </c>
      <c r="AU432" s="62"/>
      <c r="AV432" s="46"/>
      <c r="AW432" s="47"/>
      <c r="AX432" s="48"/>
      <c r="AY432" s="49"/>
      <c r="BA432" s="48"/>
    </row>
    <row r="433" spans="1:53" ht="19.5" customHeight="1" x14ac:dyDescent="0.25">
      <c r="A433" s="33" t="str">
        <f t="shared" si="216"/>
        <v>105538360,05</v>
      </c>
      <c r="B433" s="33" t="str">
        <f t="shared" si="217"/>
        <v>11790,05</v>
      </c>
      <c r="C433" s="34" t="str">
        <f>VLOOKUP(D433,[1]apoio_Preços_MGS!$A$6:$B$238,2,FALSE)</f>
        <v>OPERADOR DE CFTV</v>
      </c>
      <c r="D433" s="35">
        <v>1179</v>
      </c>
      <c r="E433" s="33" t="str">
        <f>VLOOKUP(D433,[1]apoio_Preços_MGS!$A$6:$F$238,6,FALSE)</f>
        <v>OPERADOR DE CFTV (18H ÀS 0H) - (PERIC.) - ESCALA NOTURNA - 36H</v>
      </c>
      <c r="F433" s="36">
        <f>IFERROR(VLOOKUP(D433,'[1]apoio_cód catmas'!$B$2:$C$863,2,FALSE),0)</f>
        <v>105538</v>
      </c>
      <c r="G433" s="33" t="str">
        <f>IF(H433="N/A",VLOOKUP(F433&amp;40,'[1]apoio_cód catmas'!$A$1:$G$233,4,FALSE),VLOOKUP(F433&amp;H433,'[1]apoio_cód catmas'!$A$1:$G$233,4,FALSE))</f>
        <v>OPERADOR DE CIRCUITO  FECHADO DE  TELEVISAO (CFTV ) - (PERICULOSIDADE) - NOTURNO - (18H AS 0H) - 36H</v>
      </c>
      <c r="H433" s="36">
        <v>36</v>
      </c>
      <c r="I433" s="37">
        <v>0.05</v>
      </c>
      <c r="J433" s="38" t="s">
        <v>47</v>
      </c>
      <c r="K433" s="39">
        <f>23-14</f>
        <v>9</v>
      </c>
      <c r="L433" s="39">
        <f>1380-624</f>
        <v>756</v>
      </c>
      <c r="M433" s="40">
        <f>VLOOKUP(D433,[1]apoio_Preços_MGS!$A$6:$AN$238,18,FALSE)</f>
        <v>2102.1571727777773</v>
      </c>
      <c r="N433" s="40">
        <f>VLOOKUP(D433,[1]apoio_Preços_MGS!$A$6:$AN$238,19,FALSE)</f>
        <v>630.64715183333317</v>
      </c>
      <c r="O433" s="40">
        <f>VLOOKUP(D433,[1]apoio_Preços_MGS!$A$6:$AN$238,20,FALSE)</f>
        <v>362.5152864010887</v>
      </c>
      <c r="P433" s="40">
        <f>VLOOKUP(D433,[1]apoio_Preços_MGS!$A$6:$AN$238,21,FALSE)</f>
        <v>0</v>
      </c>
      <c r="Q433" s="40">
        <f>VLOOKUP(D433,[1]apoio_Preços_MGS!$A$6:$AN$238,22,FALSE)</f>
        <v>29.674311621601934</v>
      </c>
      <c r="R433" s="40">
        <f>VLOOKUP(D433,[1]apoio_Preços_MGS!$A$6:$AN$238,23,FALSE)</f>
        <v>0</v>
      </c>
      <c r="S433" s="40">
        <f>VLOOKUP(D433,[1]apoio_Preços_MGS!$A$6:$AN$238,24,FALSE)</f>
        <v>123.35575076369595</v>
      </c>
      <c r="T433" s="40">
        <f>VLOOKUP(D433,[1]apoio_Preços_MGS!$A$6:$AN$238,25,FALSE)</f>
        <v>0</v>
      </c>
      <c r="U433" s="40">
        <f t="shared" si="214"/>
        <v>3248.3496733974976</v>
      </c>
      <c r="V433" s="41">
        <f>VLOOKUP(D433,[1]apoio_Preços_MGS!$A$6:$AN$238,27,FALSE)</f>
        <v>0.81799999999999995</v>
      </c>
      <c r="W433" s="40">
        <f t="shared" si="215"/>
        <v>2657.150032839153</v>
      </c>
      <c r="X433" s="40">
        <f>VLOOKUP(D433,[1]apoio_Preços_MGS!$A$6:$AN$238,29,FALSE)</f>
        <v>26.792727272727276</v>
      </c>
      <c r="Y433" s="40">
        <f>VLOOKUP(D433,[1]apoio_Preços_MGS!$A$6:$AN$238,30,FALSE)</f>
        <v>0</v>
      </c>
      <c r="Z433" s="40">
        <f t="shared" si="239"/>
        <v>26.792727272727276</v>
      </c>
      <c r="AA433" s="40">
        <f>VLOOKUP(D433,[1]apoio_Preços_MGS!$A$6:$AN$238,32,FALSE)</f>
        <v>4.0361417717333321</v>
      </c>
      <c r="AB433" s="40">
        <f>VLOOKUP(D433,[1]apoio_Preços_MGS!$A$6:$AN$238,33,FALSE)</f>
        <v>369.87863636363613</v>
      </c>
      <c r="AC433" s="41">
        <f>VLOOKUP(D433,[1]apoio_Preços_MGS!$A$6:$AN$238,34,FALSE)</f>
        <v>0</v>
      </c>
      <c r="AD433" s="40">
        <f>(U433+W433+Z433+AB433+AA433+VLOOKUP(C433,[1]apoio_Prec_Folha!$A:$S,7,FALSE))*AC433</f>
        <v>0</v>
      </c>
      <c r="AE433" s="42">
        <f>VLOOKUP(D433,[1]apoio_Preços_MGS!$A$6:$AN$238,36,FALSE)</f>
        <v>7.0000000000000007E-2</v>
      </c>
      <c r="AF433" s="40">
        <f>(U433+W433+Z433+AB433+AD433+AA433+VLOOKUP(C433,[1]apoio_Prec_Folha!$A:$S,7,FALSE))*AE433</f>
        <v>480.04510481513245</v>
      </c>
      <c r="AG433" s="40">
        <f t="shared" si="240"/>
        <v>6786.25</v>
      </c>
      <c r="AH433" s="43">
        <f t="shared" si="241"/>
        <v>7913.98</v>
      </c>
      <c r="AI433" s="43">
        <f t="shared" si="242"/>
        <v>71225.819999999992</v>
      </c>
      <c r="AJ433" s="43">
        <f t="shared" si="243"/>
        <v>5982968.8799999999</v>
      </c>
      <c r="AK433" s="44">
        <f>VLOOKUP(D433,[1]apoio_Preços_MGS!$A$6:$AN$238,39,FALSE)</f>
        <v>163.63636363636365</v>
      </c>
      <c r="AL433" s="44">
        <f>IF(J433="demais municípios",VLOOKUP(D433,[1]apoio_Preços_MGS!$A$6:$AN$238,39,FALSE),0)</f>
        <v>0</v>
      </c>
      <c r="AM433" s="44">
        <f>TRUNC(ROUND(($I433)/(1-($I433)),5)*VLOOKUP(D433,[1]apoio_Preços_MGS!$A$6:$AN$238,39,FALSE)+VLOOKUP(D433,[1]apoio_Preços_MGS!$A$6:$AN$238,39,FALSE),2)</f>
        <v>172.24</v>
      </c>
      <c r="AN433" s="45">
        <f t="shared" si="222"/>
        <v>1550.16</v>
      </c>
      <c r="AO433" s="44">
        <f>VLOOKUP(D433,[1]apoio_Preços_MGS!$A$6:$AN$238,40,FALSE)</f>
        <v>651.86</v>
      </c>
      <c r="AP433" s="44">
        <f>IF(J433="demais municípios",VLOOKUP(D433,[1]apoio_Preços_MGS!$A$6:$AN$238,40,FALSE),0)</f>
        <v>0</v>
      </c>
      <c r="AQ433" s="44">
        <f>TRUNC(ROUND(($I433)/(1-($I433)),5)*VLOOKUP(D433,[1]apoio_Preços_MGS!$A$6:$AN$238,40,FALSE)+VLOOKUP(D433,[1]apoio_Preços_MGS!$A$6:$AN$238,40,FALSE),2)</f>
        <v>686.16</v>
      </c>
      <c r="AR433" s="45">
        <f t="shared" si="223"/>
        <v>6175.44</v>
      </c>
      <c r="AS433" s="45">
        <f t="shared" si="220"/>
        <v>7725.5999999999995</v>
      </c>
      <c r="AT433" s="45">
        <f t="shared" si="221"/>
        <v>463535.99999999994</v>
      </c>
      <c r="AU433" s="62"/>
      <c r="AV433" s="46"/>
      <c r="AW433" s="47"/>
      <c r="AX433" s="48"/>
      <c r="AY433" s="49"/>
      <c r="BA433" s="48"/>
    </row>
    <row r="434" spans="1:53" ht="19.5" customHeight="1" x14ac:dyDescent="0.25">
      <c r="A434" s="33" t="str">
        <f t="shared" si="216"/>
        <v>63290360,05</v>
      </c>
      <c r="B434" s="33" t="str">
        <f t="shared" si="217"/>
        <v>10,05</v>
      </c>
      <c r="C434" s="34" t="str">
        <f>VLOOKUP(D434,[1]apoio_Preços_MGS!$A$6:$B$238,2,FALSE)</f>
        <v>OPERADOR DE CFTV</v>
      </c>
      <c r="D434" s="35">
        <v>1</v>
      </c>
      <c r="E434" s="33" t="str">
        <f>VLOOKUP(D434,[1]apoio_Preços_MGS!$A$6:$F$238,6,FALSE)</f>
        <v>OPERADOR DE CFTV - DIARISTA DIURNO - 36H</v>
      </c>
      <c r="F434" s="36">
        <f>IFERROR(VLOOKUP(D434,'[1]apoio_cód catmas'!$B$2:$C$863,2,FALSE),0)</f>
        <v>63290</v>
      </c>
      <c r="G434" s="33" t="str">
        <f>IF(H434="N/A",VLOOKUP(F434&amp;40,'[1]apoio_cód catmas'!$A$1:$G$233,4,FALSE),VLOOKUP(F434&amp;H434,'[1]apoio_cód catmas'!$A$1:$G$233,4,FALSE))</f>
        <v>OPERADOR DE CIRCUITO  FECHADO DE  TELEVISAO (CFTV) - 30H OU 36H</v>
      </c>
      <c r="H434" s="36">
        <v>36</v>
      </c>
      <c r="I434" s="37">
        <v>0.05</v>
      </c>
      <c r="J434" s="38" t="s">
        <v>47</v>
      </c>
      <c r="K434" s="39">
        <v>44</v>
      </c>
      <c r="L434" s="39">
        <f t="shared" si="238"/>
        <v>2640</v>
      </c>
      <c r="M434" s="40">
        <f>VLOOKUP(D434,[1]apoio_Preços_MGS!$A$6:$AN$238,18,FALSE)</f>
        <v>2102.1571727777773</v>
      </c>
      <c r="N434" s="40">
        <f>VLOOKUP(D434,[1]apoio_Preços_MGS!$A$6:$AN$238,19,FALSE)</f>
        <v>0</v>
      </c>
      <c r="O434" s="40">
        <f>VLOOKUP(D434,[1]apoio_Preços_MGS!$A$6:$AN$238,20,FALSE)</f>
        <v>0</v>
      </c>
      <c r="P434" s="40">
        <f>VLOOKUP(D434,[1]apoio_Preços_MGS!$A$6:$AN$238,21,FALSE)</f>
        <v>0</v>
      </c>
      <c r="Q434" s="40">
        <f>VLOOKUP(D434,[1]apoio_Preços_MGS!$A$6:$AN$238,22,FALSE)</f>
        <v>0</v>
      </c>
      <c r="R434" s="40">
        <f>VLOOKUP(D434,[1]apoio_Preços_MGS!$A$6:$AN$238,23,FALSE)</f>
        <v>0</v>
      </c>
      <c r="S434" s="40">
        <f>VLOOKUP(D434,[1]apoio_Preços_MGS!$A$6:$AN$238,24,FALSE)</f>
        <v>0</v>
      </c>
      <c r="T434" s="40">
        <f>VLOOKUP(D434,[1]apoio_Preços_MGS!$A$6:$AN$238,25,FALSE)</f>
        <v>0</v>
      </c>
      <c r="U434" s="40">
        <f t="shared" si="214"/>
        <v>2102.1571727777773</v>
      </c>
      <c r="V434" s="41">
        <f>VLOOKUP(D434,[1]apoio_Preços_MGS!$A$6:$AN$238,27,FALSE)</f>
        <v>0.81799999999999995</v>
      </c>
      <c r="W434" s="40">
        <f t="shared" si="215"/>
        <v>1719.5645673322217</v>
      </c>
      <c r="X434" s="40">
        <f>VLOOKUP(D434,[1]apoio_Preços_MGS!$A$6:$AN$238,29,FALSE)</f>
        <v>26.792727272727276</v>
      </c>
      <c r="Y434" s="40">
        <f>VLOOKUP(D434,[1]apoio_Preços_MGS!$A$6:$AN$238,30,FALSE)</f>
        <v>0</v>
      </c>
      <c r="Z434" s="40">
        <f t="shared" si="239"/>
        <v>26.792727272727276</v>
      </c>
      <c r="AA434" s="40">
        <f>VLOOKUP(D434,[1]apoio_Preços_MGS!$A$6:$AN$238,32,FALSE)</f>
        <v>4.0361417717333321</v>
      </c>
      <c r="AB434" s="40">
        <f>VLOOKUP(D434,[1]apoio_Preços_MGS!$A$6:$AN$238,33,FALSE)</f>
        <v>369.87863636363613</v>
      </c>
      <c r="AC434" s="41">
        <f>VLOOKUP(D434,[1]apoio_Preços_MGS!$A$6:$AN$238,34,FALSE)</f>
        <v>0</v>
      </c>
      <c r="AD434" s="40">
        <f>(U434+W434+Z434+AB434+AA434+VLOOKUP(C434,[1]apoio_Prec_Folha!$A:$S,7,FALSE))*AC434</f>
        <v>0</v>
      </c>
      <c r="AE434" s="42">
        <f>VLOOKUP(D434,[1]apoio_Preços_MGS!$A$6:$AN$238,36,FALSE)</f>
        <v>7.0000000000000007E-2</v>
      </c>
      <c r="AF434" s="40">
        <f>(U434+W434+Z434+AB434+AD434+AA434+VLOOKUP(C434,[1]apoio_Prec_Folha!$A:$S,7,FALSE))*AE434</f>
        <v>334.18064718626681</v>
      </c>
      <c r="AG434" s="40">
        <f t="shared" si="240"/>
        <v>4556.6000000000004</v>
      </c>
      <c r="AH434" s="43">
        <f t="shared" si="241"/>
        <v>5313.81</v>
      </c>
      <c r="AI434" s="43">
        <f t="shared" si="242"/>
        <v>233807.64</v>
      </c>
      <c r="AJ434" s="43">
        <f t="shared" si="243"/>
        <v>14028458.4</v>
      </c>
      <c r="AK434" s="44">
        <f>VLOOKUP(D434,[1]apoio_Preços_MGS!$A$6:$AN$238,39,FALSE)</f>
        <v>163.63636363636365</v>
      </c>
      <c r="AL434" s="44">
        <f>IF(J434="demais municípios",VLOOKUP(D434,[1]apoio_Preços_MGS!$A$6:$AN$238,39,FALSE),0)</f>
        <v>0</v>
      </c>
      <c r="AM434" s="44">
        <f>TRUNC(ROUND(($I434)/(1-($I434)),5)*VLOOKUP(D434,[1]apoio_Preços_MGS!$A$6:$AN$238,39,FALSE)+VLOOKUP(D434,[1]apoio_Preços_MGS!$A$6:$AN$238,39,FALSE),2)</f>
        <v>172.24</v>
      </c>
      <c r="AN434" s="45">
        <f t="shared" si="222"/>
        <v>7578.56</v>
      </c>
      <c r="AO434" s="44">
        <f>VLOOKUP(D434,[1]apoio_Preços_MGS!$A$6:$AN$238,40,FALSE)</f>
        <v>651.86</v>
      </c>
      <c r="AP434" s="44">
        <f>IF(J434="demais municípios",VLOOKUP(D434,[1]apoio_Preços_MGS!$A$6:$AN$238,40,FALSE),0)</f>
        <v>0</v>
      </c>
      <c r="AQ434" s="44">
        <f>TRUNC(ROUND(($I434)/(1-($I434)),5)*VLOOKUP(D434,[1]apoio_Preços_MGS!$A$6:$AN$238,40,FALSE)+VLOOKUP(D434,[1]apoio_Preços_MGS!$A$6:$AN$238,40,FALSE),2)</f>
        <v>686.16</v>
      </c>
      <c r="AR434" s="45">
        <f t="shared" si="223"/>
        <v>30191.039999999997</v>
      </c>
      <c r="AS434" s="45">
        <f t="shared" si="220"/>
        <v>37769.599999999999</v>
      </c>
      <c r="AT434" s="45">
        <f t="shared" si="221"/>
        <v>2266176</v>
      </c>
      <c r="AU434" s="62"/>
      <c r="AV434" s="46"/>
      <c r="AW434" s="47"/>
      <c r="AX434" s="48"/>
      <c r="AY434" s="49"/>
      <c r="BA434" s="48"/>
    </row>
    <row r="435" spans="1:53" ht="19.5" customHeight="1" x14ac:dyDescent="0.25">
      <c r="A435" s="33" t="str">
        <f t="shared" si="216"/>
        <v>63746300,05</v>
      </c>
      <c r="B435" s="33" t="str">
        <f t="shared" si="217"/>
        <v>40,05</v>
      </c>
      <c r="C435" s="34" t="str">
        <f>VLOOKUP(D435,[1]apoio_Preços_MGS!$A$6:$B$238,2,FALSE)</f>
        <v>OPERADOR DE CFTV</v>
      </c>
      <c r="D435" s="35">
        <v>4</v>
      </c>
      <c r="E435" s="33" t="str">
        <f>VLOOKUP(D435,[1]apoio_Preços_MGS!$A$6:$F$238,6,FALSE)</f>
        <v>OPERADOR DE CFTV (0H ÀS 6H) - DIARISTA NOTURNO - 30H</v>
      </c>
      <c r="F435" s="36">
        <f>IFERROR(VLOOKUP(D435,'[1]apoio_cód catmas'!$B$2:$C$863,2,FALSE),0)</f>
        <v>63746</v>
      </c>
      <c r="G435" s="33" t="str">
        <f>IF(H435="N/A",VLOOKUP(F435&amp;40,'[1]apoio_cód catmas'!$A$1:$G$233,4,FALSE),VLOOKUP(F435&amp;H435,'[1]apoio_cód catmas'!$A$1:$G$233,4,FALSE))</f>
        <v>OPERADOR DE CIRCUITO  FECHADO DE TELEVISAO (CFTV) - NOTURNO (0H AS 6H) - 30H</v>
      </c>
      <c r="H435" s="36">
        <v>30</v>
      </c>
      <c r="I435" s="37">
        <v>0.05</v>
      </c>
      <c r="J435" s="38" t="s">
        <v>47</v>
      </c>
      <c r="K435" s="39">
        <v>19</v>
      </c>
      <c r="L435" s="39">
        <f t="shared" si="238"/>
        <v>1140</v>
      </c>
      <c r="M435" s="40">
        <f>VLOOKUP(D435,[1]apoio_Preços_MGS!$A$6:$AN$238,18,FALSE)</f>
        <v>1751.7976439814811</v>
      </c>
      <c r="N435" s="40">
        <f>VLOOKUP(D435,[1]apoio_Preços_MGS!$A$6:$AN$238,19,FALSE)</f>
        <v>0</v>
      </c>
      <c r="O435" s="40">
        <f>VLOOKUP(D435,[1]apoio_Preços_MGS!$A$6:$AN$238,20,FALSE)</f>
        <v>697.14478154055507</v>
      </c>
      <c r="P435" s="40">
        <f>VLOOKUP(D435,[1]apoio_Preços_MGS!$A$6:$AN$238,21,FALSE)</f>
        <v>10.65232018806598</v>
      </c>
      <c r="Q435" s="40">
        <f>VLOOKUP(D435,[1]apoio_Preços_MGS!$A$6:$AN$238,22,FALSE)</f>
        <v>57.065983887696014</v>
      </c>
      <c r="R435" s="40">
        <f>VLOOKUP(D435,[1]apoio_Preços_MGS!$A$6:$AN$238,23,FALSE)</f>
        <v>0</v>
      </c>
      <c r="S435" s="40">
        <f>VLOOKUP(D435,[1]apoio_Preços_MGS!$A$6:$AN$238,24,FALSE)</f>
        <v>0</v>
      </c>
      <c r="T435" s="40">
        <f>VLOOKUP(D435,[1]apoio_Preços_MGS!$A$6:$AN$238,25,FALSE)</f>
        <v>0</v>
      </c>
      <c r="U435" s="40">
        <f t="shared" si="214"/>
        <v>2516.6607295977979</v>
      </c>
      <c r="V435" s="41">
        <f>VLOOKUP(D435,[1]apoio_Preços_MGS!$A$6:$AN$238,27,FALSE)</f>
        <v>0.81799999999999995</v>
      </c>
      <c r="W435" s="40">
        <f t="shared" si="215"/>
        <v>2058.6284768109986</v>
      </c>
      <c r="X435" s="40">
        <f>VLOOKUP(D435,[1]apoio_Preços_MGS!$A$6:$AN$238,29,FALSE)</f>
        <v>26.792727272727276</v>
      </c>
      <c r="Y435" s="40">
        <f>VLOOKUP(D435,[1]apoio_Preços_MGS!$A$6:$AN$238,30,FALSE)</f>
        <v>0</v>
      </c>
      <c r="Z435" s="40">
        <f t="shared" si="239"/>
        <v>26.792727272727276</v>
      </c>
      <c r="AA435" s="40">
        <f>VLOOKUP(D435,[1]apoio_Preços_MGS!$A$6:$AN$238,32,FALSE)</f>
        <v>3.3634514764444434</v>
      </c>
      <c r="AB435" s="40">
        <f>VLOOKUP(D435,[1]apoio_Preços_MGS!$A$6:$AN$238,33,FALSE)</f>
        <v>386.61353030303007</v>
      </c>
      <c r="AC435" s="41">
        <f>VLOOKUP(D435,[1]apoio_Preços_MGS!$A$6:$AN$238,34,FALSE)</f>
        <v>0</v>
      </c>
      <c r="AD435" s="40">
        <f>(U435+W435+Z435+AB435+AA435+VLOOKUP(C435,[1]apoio_Prec_Folha!$A:$S,7,FALSE))*AC435</f>
        <v>0</v>
      </c>
      <c r="AE435" s="42">
        <f>VLOOKUP(D435,[1]apoio_Preços_MGS!$A$6:$AN$238,36,FALSE)</f>
        <v>7.0000000000000007E-2</v>
      </c>
      <c r="AF435" s="40">
        <f>(U435+W435+Z435+AB435+AD435+AA435+VLOOKUP(C435,[1]apoio_Prec_Folha!$A:$S,7,FALSE))*AE435</f>
        <v>388.05472408226996</v>
      </c>
      <c r="AG435" s="40">
        <f t="shared" si="240"/>
        <v>5380.11</v>
      </c>
      <c r="AH435" s="43">
        <f t="shared" si="241"/>
        <v>6274.17</v>
      </c>
      <c r="AI435" s="43">
        <f t="shared" si="242"/>
        <v>119209.23</v>
      </c>
      <c r="AJ435" s="43">
        <f t="shared" si="243"/>
        <v>7152553.7999999998</v>
      </c>
      <c r="AK435" s="44">
        <f>VLOOKUP(D435,[1]apoio_Preços_MGS!$A$6:$AN$238,39,FALSE)</f>
        <v>136.36363636363637</v>
      </c>
      <c r="AL435" s="44">
        <f>IF(J435="demais municípios",VLOOKUP(D435,[1]apoio_Preços_MGS!$A$6:$AN$238,39,FALSE),0)</f>
        <v>0</v>
      </c>
      <c r="AM435" s="44">
        <f>TRUNC(ROUND(($I435)/(1-($I435)),5)*VLOOKUP(D435,[1]apoio_Preços_MGS!$A$6:$AN$238,39,FALSE)+VLOOKUP(D435,[1]apoio_Preços_MGS!$A$6:$AN$238,39,FALSE),2)</f>
        <v>143.54</v>
      </c>
      <c r="AN435" s="45">
        <f t="shared" si="222"/>
        <v>2727.2599999999998</v>
      </c>
      <c r="AO435" s="44">
        <f>VLOOKUP(D435,[1]apoio_Preços_MGS!$A$6:$AN$238,40,FALSE)</f>
        <v>651.86</v>
      </c>
      <c r="AP435" s="44">
        <f>IF(J435="demais municípios",VLOOKUP(D435,[1]apoio_Preços_MGS!$A$6:$AN$238,40,FALSE),0)</f>
        <v>0</v>
      </c>
      <c r="AQ435" s="44">
        <f>TRUNC(ROUND(($I435)/(1-($I435)),5)*VLOOKUP(D435,[1]apoio_Preços_MGS!$A$6:$AN$238,40,FALSE)+VLOOKUP(D435,[1]apoio_Preços_MGS!$A$6:$AN$238,40,FALSE),2)</f>
        <v>686.16</v>
      </c>
      <c r="AR435" s="45">
        <f t="shared" si="223"/>
        <v>13037.039999999999</v>
      </c>
      <c r="AS435" s="45">
        <f t="shared" si="220"/>
        <v>15764.3</v>
      </c>
      <c r="AT435" s="45">
        <f t="shared" si="221"/>
        <v>945858</v>
      </c>
      <c r="AU435" s="62"/>
      <c r="AV435" s="46"/>
      <c r="AW435" s="47"/>
      <c r="AX435" s="48"/>
      <c r="AY435" s="49"/>
      <c r="BA435" s="48"/>
    </row>
    <row r="436" spans="1:53" ht="19.5" customHeight="1" x14ac:dyDescent="0.25">
      <c r="A436" s="33" t="str">
        <f t="shared" si="216"/>
        <v>63738360,05</v>
      </c>
      <c r="B436" s="33" t="str">
        <f t="shared" si="217"/>
        <v>50,05</v>
      </c>
      <c r="C436" s="34" t="str">
        <f>VLOOKUP(D436,[1]apoio_Preços_MGS!$A$6:$B$238,2,FALSE)</f>
        <v>OPERADOR DE CFTV</v>
      </c>
      <c r="D436" s="35">
        <v>5</v>
      </c>
      <c r="E436" s="33" t="str">
        <f>VLOOKUP(D436,[1]apoio_Preços_MGS!$A$6:$F$238,6,FALSE)</f>
        <v>OPERADOR DE CFTV (18H ÀS 0H) - DIARISTA NOTURNO - 36H</v>
      </c>
      <c r="F436" s="36">
        <f>IFERROR(VLOOKUP(D436,'[1]apoio_cód catmas'!$B$2:$C$863,2,FALSE),0)</f>
        <v>63738</v>
      </c>
      <c r="G436" s="33" t="str">
        <f>IF(H436="N/A",VLOOKUP(F436&amp;40,'[1]apoio_cód catmas'!$A$1:$G$233,4,FALSE),VLOOKUP(F436&amp;H436,'[1]apoio_cód catmas'!$A$1:$G$233,4,FALSE))</f>
        <v>OPERADOR DE CIRCUITO  FECHADO DE TELEVISAO (CFTV) - NOTURNO (18H AS 0H) - 36H</v>
      </c>
      <c r="H436" s="36">
        <v>36</v>
      </c>
      <c r="I436" s="37">
        <v>0.05</v>
      </c>
      <c r="J436" s="38" t="s">
        <v>47</v>
      </c>
      <c r="K436" s="39">
        <v>17</v>
      </c>
      <c r="L436" s="39">
        <f t="shared" si="238"/>
        <v>1020</v>
      </c>
      <c r="M436" s="40">
        <f>VLOOKUP(D436,[1]apoio_Preços_MGS!$A$6:$AN$238,18,FALSE)</f>
        <v>2102.1571727777773</v>
      </c>
      <c r="N436" s="40">
        <f>VLOOKUP(D436,[1]apoio_Preços_MGS!$A$6:$AN$238,19,FALSE)</f>
        <v>0</v>
      </c>
      <c r="O436" s="40">
        <f>VLOOKUP(D436,[1]apoio_Preços_MGS!$A$6:$AN$238,20,FALSE)</f>
        <v>278.85791261622205</v>
      </c>
      <c r="P436" s="40">
        <f>VLOOKUP(D436,[1]apoio_Preços_MGS!$A$6:$AN$238,21,FALSE)</f>
        <v>0</v>
      </c>
      <c r="Q436" s="40">
        <f>VLOOKUP(D436,[1]apoio_Preços_MGS!$A$6:$AN$238,22,FALSE)</f>
        <v>22.826393555078408</v>
      </c>
      <c r="R436" s="40">
        <f>VLOOKUP(D436,[1]apoio_Preços_MGS!$A$6:$AN$238,23,FALSE)</f>
        <v>0</v>
      </c>
      <c r="S436" s="40">
        <f>VLOOKUP(D436,[1]apoio_Preços_MGS!$A$6:$AN$238,24,FALSE)</f>
        <v>0</v>
      </c>
      <c r="T436" s="40">
        <f>VLOOKUP(D436,[1]apoio_Preços_MGS!$A$6:$AN$238,25,FALSE)</f>
        <v>0</v>
      </c>
      <c r="U436" s="40">
        <f t="shared" si="214"/>
        <v>2403.841478949078</v>
      </c>
      <c r="V436" s="41">
        <f>VLOOKUP(D436,[1]apoio_Preços_MGS!$A$6:$AN$238,27,FALSE)</f>
        <v>0.81799999999999995</v>
      </c>
      <c r="W436" s="40">
        <f t="shared" si="215"/>
        <v>1966.3423297803456</v>
      </c>
      <c r="X436" s="40">
        <f>VLOOKUP(D436,[1]apoio_Preços_MGS!$A$6:$AN$238,29,FALSE)</f>
        <v>26.792727272727276</v>
      </c>
      <c r="Y436" s="40">
        <f>VLOOKUP(D436,[1]apoio_Preços_MGS!$A$6:$AN$238,30,FALSE)</f>
        <v>0</v>
      </c>
      <c r="Z436" s="40">
        <f t="shared" si="239"/>
        <v>26.792727272727276</v>
      </c>
      <c r="AA436" s="40">
        <f>VLOOKUP(D436,[1]apoio_Preços_MGS!$A$6:$AN$238,32,FALSE)</f>
        <v>4.0361417717333321</v>
      </c>
      <c r="AB436" s="40">
        <f>VLOOKUP(D436,[1]apoio_Preços_MGS!$A$6:$AN$238,33,FALSE)</f>
        <v>369.87863636363613</v>
      </c>
      <c r="AC436" s="41">
        <f>VLOOKUP(D436,[1]apoio_Preços_MGS!$A$6:$AN$238,34,FALSE)</f>
        <v>0</v>
      </c>
      <c r="AD436" s="40">
        <f>(U436+W436+Z436+AB436+AA436+VLOOKUP(C436,[1]apoio_Prec_Folha!$A:$S,7,FALSE))*AC436</f>
        <v>0</v>
      </c>
      <c r="AE436" s="42">
        <f>VLOOKUP(D436,[1]apoio_Preços_MGS!$A$6:$AN$238,36,FALSE)</f>
        <v>7.0000000000000007E-2</v>
      </c>
      <c r="AF436" s="40">
        <f>(U436+W436+Z436+AB436+AD436+AA436+VLOOKUP(C436,[1]apoio_Prec_Folha!$A:$S,7,FALSE))*AE436</f>
        <v>372.57299198962653</v>
      </c>
      <c r="AG436" s="40">
        <f t="shared" si="240"/>
        <v>5143.46</v>
      </c>
      <c r="AH436" s="43">
        <f t="shared" si="241"/>
        <v>5998.2</v>
      </c>
      <c r="AI436" s="43">
        <f t="shared" si="242"/>
        <v>101969.4</v>
      </c>
      <c r="AJ436" s="43">
        <f t="shared" si="243"/>
        <v>6118164</v>
      </c>
      <c r="AK436" s="44">
        <f>VLOOKUP(D436,[1]apoio_Preços_MGS!$A$6:$AN$238,39,FALSE)</f>
        <v>163.63636363636365</v>
      </c>
      <c r="AL436" s="44">
        <f>IF(J436="demais municípios",VLOOKUP(D436,[1]apoio_Preços_MGS!$A$6:$AN$238,39,FALSE),0)</f>
        <v>0</v>
      </c>
      <c r="AM436" s="44">
        <f>TRUNC(ROUND(($I436)/(1-($I436)),5)*VLOOKUP(D436,[1]apoio_Preços_MGS!$A$6:$AN$238,39,FALSE)+VLOOKUP(D436,[1]apoio_Preços_MGS!$A$6:$AN$238,39,FALSE),2)</f>
        <v>172.24</v>
      </c>
      <c r="AN436" s="45">
        <f t="shared" si="222"/>
        <v>2928.08</v>
      </c>
      <c r="AO436" s="44">
        <f>VLOOKUP(D436,[1]apoio_Preços_MGS!$A$6:$AN$238,40,FALSE)</f>
        <v>651.86</v>
      </c>
      <c r="AP436" s="44">
        <f>IF(J436="demais municípios",VLOOKUP(D436,[1]apoio_Preços_MGS!$A$6:$AN$238,40,FALSE),0)</f>
        <v>0</v>
      </c>
      <c r="AQ436" s="44">
        <f>TRUNC(ROUND(($I436)/(1-($I436)),5)*VLOOKUP(D436,[1]apoio_Preços_MGS!$A$6:$AN$238,40,FALSE)+VLOOKUP(D436,[1]apoio_Preços_MGS!$A$6:$AN$238,40,FALSE),2)</f>
        <v>686.16</v>
      </c>
      <c r="AR436" s="45">
        <f t="shared" si="223"/>
        <v>11664.72</v>
      </c>
      <c r="AS436" s="45">
        <f t="shared" si="220"/>
        <v>14592.8</v>
      </c>
      <c r="AT436" s="45">
        <f t="shared" si="221"/>
        <v>875568</v>
      </c>
      <c r="AU436" s="62"/>
      <c r="AV436" s="46"/>
      <c r="AW436" s="47"/>
      <c r="AX436" s="48"/>
      <c r="AY436" s="49"/>
      <c r="BA436" s="48"/>
    </row>
    <row r="437" spans="1:53" ht="19.5" customHeight="1" x14ac:dyDescent="0.25">
      <c r="A437" s="33" t="str">
        <f t="shared" si="216"/>
        <v>100447360,05</v>
      </c>
      <c r="B437" s="33" t="str">
        <f t="shared" si="217"/>
        <v>11780,05</v>
      </c>
      <c r="C437" s="34" t="str">
        <f>VLOOKUP(D437,[1]apoio_Preços_MGS!$A$6:$B$238,2,FALSE)</f>
        <v>OPERADOR DE CFTV</v>
      </c>
      <c r="D437" s="35">
        <v>1178</v>
      </c>
      <c r="E437" s="33" t="str">
        <f>VLOOKUP(D437,[1]apoio_Preços_MGS!$A$6:$F$238,6,FALSE)</f>
        <v>OPERADOR DE CFTV - (PERIC.) - ESCALA DIURNA - 36H</v>
      </c>
      <c r="F437" s="36">
        <f>IFERROR(VLOOKUP(D437,'[1]apoio_cód catmas'!$B$2:$C$863,2,FALSE),0)</f>
        <v>100447</v>
      </c>
      <c r="G437" s="33" t="str">
        <f>IF(H437="N/A",VLOOKUP(F437&amp;40,'[1]apoio_cód catmas'!$A$1:$G$233,4,FALSE),VLOOKUP(F437&amp;H437,'[1]apoio_cód catmas'!$A$1:$G$233,4,FALSE))</f>
        <v>OPERADOR DE CIRCUITO FECHADO DE TELEVISAO - (PERICULOSIDADE) - (CFTV) - 30H  OU 36H</v>
      </c>
      <c r="H437" s="36">
        <v>36</v>
      </c>
      <c r="I437" s="37">
        <v>0.05</v>
      </c>
      <c r="J437" s="38" t="s">
        <v>47</v>
      </c>
      <c r="K437" s="39">
        <f>55-28</f>
        <v>27</v>
      </c>
      <c r="L437" s="39">
        <f>3300-1456</f>
        <v>1844</v>
      </c>
      <c r="M437" s="40">
        <f>VLOOKUP(D437,[1]apoio_Preços_MGS!$A$6:$AN$238,18,FALSE)</f>
        <v>2102.1571727777773</v>
      </c>
      <c r="N437" s="40">
        <f>VLOOKUP(D437,[1]apoio_Preços_MGS!$A$6:$AN$238,19,FALSE)</f>
        <v>630.64715183333317</v>
      </c>
      <c r="O437" s="40">
        <f>VLOOKUP(D437,[1]apoio_Preços_MGS!$A$6:$AN$238,20,FALSE)</f>
        <v>0</v>
      </c>
      <c r="P437" s="40">
        <f>VLOOKUP(D437,[1]apoio_Preços_MGS!$A$6:$AN$238,21,FALSE)</f>
        <v>0</v>
      </c>
      <c r="Q437" s="40">
        <f>VLOOKUP(D437,[1]apoio_Preços_MGS!$A$6:$AN$238,22,FALSE)</f>
        <v>0</v>
      </c>
      <c r="R437" s="40">
        <f>VLOOKUP(D437,[1]apoio_Preços_MGS!$A$6:$AN$238,23,FALSE)</f>
        <v>0</v>
      </c>
      <c r="S437" s="40">
        <f>VLOOKUP(D437,[1]apoio_Preços_MGS!$A$6:$AN$238,24,FALSE)</f>
        <v>123.35575076369595</v>
      </c>
      <c r="T437" s="40">
        <f>VLOOKUP(D437,[1]apoio_Preços_MGS!$A$6:$AN$238,25,FALSE)</f>
        <v>0</v>
      </c>
      <c r="U437" s="40">
        <f t="shared" si="214"/>
        <v>2856.1600753748066</v>
      </c>
      <c r="V437" s="41">
        <f>VLOOKUP(D437,[1]apoio_Preços_MGS!$A$6:$AN$238,27,FALSE)</f>
        <v>0.81799999999999995</v>
      </c>
      <c r="W437" s="40">
        <f t="shared" si="215"/>
        <v>2336.3389416565915</v>
      </c>
      <c r="X437" s="40">
        <f>VLOOKUP(D437,[1]apoio_Preços_MGS!$A$6:$AN$238,29,FALSE)</f>
        <v>26.792727272727276</v>
      </c>
      <c r="Y437" s="40">
        <f>VLOOKUP(D437,[1]apoio_Preços_MGS!$A$6:$AN$238,30,FALSE)</f>
        <v>0</v>
      </c>
      <c r="Z437" s="40">
        <f t="shared" si="239"/>
        <v>26.792727272727276</v>
      </c>
      <c r="AA437" s="40">
        <f>VLOOKUP(D437,[1]apoio_Preços_MGS!$A$6:$AN$238,32,FALSE)</f>
        <v>4.0361417717333321</v>
      </c>
      <c r="AB437" s="40">
        <f>VLOOKUP(D437,[1]apoio_Preços_MGS!$A$6:$AN$238,33,FALSE)</f>
        <v>369.87863636363613</v>
      </c>
      <c r="AC437" s="41">
        <f>VLOOKUP(D437,[1]apoio_Preços_MGS!$A$6:$AN$238,34,FALSE)</f>
        <v>0</v>
      </c>
      <c r="AD437" s="40">
        <f>(U437+W437+Z437+AB437+AA437+VLOOKUP(C437,[1]apoio_Prec_Folha!$A:$S,7,FALSE))*AC437</f>
        <v>0</v>
      </c>
      <c r="AE437" s="42">
        <f>VLOOKUP(D437,[1]apoio_Preços_MGS!$A$6:$AN$238,36,FALSE)</f>
        <v>7.0000000000000007E-2</v>
      </c>
      <c r="AF437" s="40">
        <f>(U437+W437+Z437+AB437+AD437+AA437+VLOOKUP(C437,[1]apoio_Prec_Folha!$A:$S,7,FALSE))*AE437</f>
        <v>430.13505657076473</v>
      </c>
      <c r="AG437" s="40">
        <f t="shared" si="240"/>
        <v>6023.34</v>
      </c>
      <c r="AH437" s="43">
        <f t="shared" si="241"/>
        <v>7024.29</v>
      </c>
      <c r="AI437" s="43">
        <f t="shared" si="242"/>
        <v>189655.83</v>
      </c>
      <c r="AJ437" s="43">
        <f t="shared" si="243"/>
        <v>12952790.76</v>
      </c>
      <c r="AK437" s="44">
        <f>VLOOKUP(D437,[1]apoio_Preços_MGS!$A$6:$AN$238,39,FALSE)</f>
        <v>163.63636363636365</v>
      </c>
      <c r="AL437" s="44">
        <f>IF(J437="demais municípios",VLOOKUP(D437,[1]apoio_Preços_MGS!$A$6:$AN$238,39,FALSE),0)</f>
        <v>0</v>
      </c>
      <c r="AM437" s="44">
        <f>TRUNC(ROUND(($I437)/(1-($I437)),5)*VLOOKUP(D437,[1]apoio_Preços_MGS!$A$6:$AN$238,39,FALSE)+VLOOKUP(D437,[1]apoio_Preços_MGS!$A$6:$AN$238,39,FALSE),2)</f>
        <v>172.24</v>
      </c>
      <c r="AN437" s="45">
        <f t="shared" si="222"/>
        <v>4650.4800000000005</v>
      </c>
      <c r="AO437" s="44">
        <f>VLOOKUP(D437,[1]apoio_Preços_MGS!$A$6:$AN$238,40,FALSE)</f>
        <v>651.86</v>
      </c>
      <c r="AP437" s="44">
        <f>IF(J437="demais municípios",VLOOKUP(D437,[1]apoio_Preços_MGS!$A$6:$AN$238,40,FALSE),0)</f>
        <v>0</v>
      </c>
      <c r="AQ437" s="44">
        <f>TRUNC(ROUND(($I437)/(1-($I437)),5)*VLOOKUP(D437,[1]apoio_Preços_MGS!$A$6:$AN$238,40,FALSE)+VLOOKUP(D437,[1]apoio_Preços_MGS!$A$6:$AN$238,40,FALSE),2)</f>
        <v>686.16</v>
      </c>
      <c r="AR437" s="45">
        <f t="shared" si="223"/>
        <v>18526.32</v>
      </c>
      <c r="AS437" s="45">
        <f t="shared" si="220"/>
        <v>23176.799999999999</v>
      </c>
      <c r="AT437" s="45">
        <f t="shared" si="221"/>
        <v>1390608</v>
      </c>
      <c r="AU437" s="62"/>
      <c r="AV437" s="46"/>
      <c r="AW437" s="47"/>
      <c r="AX437" s="48"/>
      <c r="AY437" s="49"/>
      <c r="BA437" s="48"/>
    </row>
    <row r="438" spans="1:53" ht="19.5" customHeight="1" x14ac:dyDescent="0.25">
      <c r="A438" s="33" t="str">
        <f t="shared" si="216"/>
        <v>100455300,05</v>
      </c>
      <c r="B438" s="33" t="str">
        <f t="shared" si="217"/>
        <v>13080,05</v>
      </c>
      <c r="C438" s="34" t="str">
        <f>VLOOKUP(D438,[1]apoio_Preços_MGS!$A$6:$B$238,2,FALSE)</f>
        <v>OPERADOR DE CFTV</v>
      </c>
      <c r="D438" s="35">
        <v>1308</v>
      </c>
      <c r="E438" s="33" t="str">
        <f>VLOOKUP(D438,[1]apoio_Preços_MGS!$A$6:$F$238,6,FALSE)</f>
        <v>OPERADOR DE CFTV (0H ÀS 6H) - (PERIC.) - ESCALA NOTURNA - 30H</v>
      </c>
      <c r="F438" s="36">
        <f>IFERROR(VLOOKUP(D438,'[1]apoio_cód catmas'!$B$2:$C$863,2,FALSE),0)</f>
        <v>100455</v>
      </c>
      <c r="G438" s="33" t="str">
        <f>IF(H438="N/A",VLOOKUP(F438&amp;40,'[1]apoio_cód catmas'!$A$1:$G$233,4,FALSE),VLOOKUP(F438&amp;H438,'[1]apoio_cód catmas'!$A$1:$G$233,4,FALSE))</f>
        <v>OPERADOR DE CIRCUITO FECHADO DE TELEVISAO (CFTV) (PERICULOSIDADE) - NOTURNO (0H AS 6H) E (18H AS 0H) - 30H -</v>
      </c>
      <c r="H438" s="36">
        <v>30</v>
      </c>
      <c r="I438" s="37">
        <v>0.05</v>
      </c>
      <c r="J438" s="38" t="s">
        <v>47</v>
      </c>
      <c r="K438" s="39">
        <f>14-12</f>
        <v>2</v>
      </c>
      <c r="L438" s="39">
        <f>K438*60</f>
        <v>120</v>
      </c>
      <c r="M438" s="40">
        <f>VLOOKUP(D438,[1]apoio_Preços_MGS!$A$6:$AN$238,18,FALSE)</f>
        <v>1751.7976439814811</v>
      </c>
      <c r="N438" s="40">
        <f>VLOOKUP(D438,[1]apoio_Preços_MGS!$A$6:$AN$238,19,FALSE)</f>
        <v>525.53929319444433</v>
      </c>
      <c r="O438" s="40">
        <f>VLOOKUP(D438,[1]apoio_Preços_MGS!$A$6:$AN$238,20,FALSE)</f>
        <v>906.28821600272181</v>
      </c>
      <c r="P438" s="40">
        <f>VLOOKUP(D438,[1]apoio_Preços_MGS!$A$6:$AN$238,21,FALSE)</f>
        <v>13.848016244485775</v>
      </c>
      <c r="Q438" s="40">
        <f>VLOOKUP(D438,[1]apoio_Preços_MGS!$A$6:$AN$238,22,FALSE)</f>
        <v>74.185779054004811</v>
      </c>
      <c r="R438" s="40">
        <f>VLOOKUP(D438,[1]apoio_Preços_MGS!$A$6:$AN$238,23,FALSE)</f>
        <v>0</v>
      </c>
      <c r="S438" s="40">
        <f>VLOOKUP(D438,[1]apoio_Preços_MGS!$A$6:$AN$238,24,FALSE)</f>
        <v>123.35575076369595</v>
      </c>
      <c r="T438" s="40">
        <f>VLOOKUP(D438,[1]apoio_Preços_MGS!$A$6:$AN$238,25,FALSE)</f>
        <v>0</v>
      </c>
      <c r="U438" s="40">
        <f t="shared" si="214"/>
        <v>3395.014699240834</v>
      </c>
      <c r="V438" s="41">
        <f>VLOOKUP(D438,[1]apoio_Preços_MGS!$A$6:$AN$238,27,FALSE)</f>
        <v>0.81799999999999995</v>
      </c>
      <c r="W438" s="40">
        <f t="shared" si="215"/>
        <v>2777.1220239790023</v>
      </c>
      <c r="X438" s="40">
        <f>VLOOKUP(D438,[1]apoio_Preços_MGS!$A$6:$AN$238,29,FALSE)</f>
        <v>26.792727272727276</v>
      </c>
      <c r="Y438" s="40">
        <f>VLOOKUP(D438,[1]apoio_Preços_MGS!$A$6:$AN$238,30,FALSE)</f>
        <v>0</v>
      </c>
      <c r="Z438" s="40">
        <f t="shared" si="239"/>
        <v>26.792727272727276</v>
      </c>
      <c r="AA438" s="40">
        <f>VLOOKUP(D438,[1]apoio_Preços_MGS!$A$6:$AN$238,32,FALSE)</f>
        <v>3.3634514764444434</v>
      </c>
      <c r="AB438" s="40">
        <f>VLOOKUP(D438,[1]apoio_Preços_MGS!$A$6:$AN$238,33,FALSE)</f>
        <v>386.61353030303007</v>
      </c>
      <c r="AC438" s="41">
        <f>VLOOKUP(D438,[1]apoio_Preços_MGS!$A$6:$AN$238,34,FALSE)</f>
        <v>0</v>
      </c>
      <c r="AD438" s="40">
        <f>(U438+W438+Z438+AB438+AA438+VLOOKUP(C438,[1]apoio_Prec_Folha!$A:$S,7,FALSE))*AC438</f>
        <v>0</v>
      </c>
      <c r="AE438" s="42">
        <f>VLOOKUP(D438,[1]apoio_Preços_MGS!$A$6:$AN$238,36,FALSE)</f>
        <v>7.0000000000000007E-2</v>
      </c>
      <c r="AF438" s="40">
        <f>(U438+W438+Z438+AB438+AD438+AA438+VLOOKUP(C438,[1]apoio_Prec_Folha!$A:$S,7,FALSE))*AE438</f>
        <v>499.83405025904273</v>
      </c>
      <c r="AG438" s="40">
        <f t="shared" si="240"/>
        <v>7088.74</v>
      </c>
      <c r="AH438" s="43">
        <f t="shared" si="241"/>
        <v>8266.74</v>
      </c>
      <c r="AI438" s="43">
        <f t="shared" si="242"/>
        <v>16533.48</v>
      </c>
      <c r="AJ438" s="43">
        <f t="shared" si="243"/>
        <v>992008.79999999993</v>
      </c>
      <c r="AK438" s="44">
        <f>VLOOKUP(D438,[1]apoio_Preços_MGS!$A$6:$AN$238,39,FALSE)</f>
        <v>136.36363636363637</v>
      </c>
      <c r="AL438" s="44">
        <f>IF(J438="demais municípios",VLOOKUP(D438,[1]apoio_Preços_MGS!$A$6:$AN$238,39,FALSE),0)</f>
        <v>0</v>
      </c>
      <c r="AM438" s="44">
        <f>TRUNC(ROUND(($I438)/(1-($I438)),5)*VLOOKUP(D438,[1]apoio_Preços_MGS!$A$6:$AN$238,39,FALSE)+VLOOKUP(D438,[1]apoio_Preços_MGS!$A$6:$AN$238,39,FALSE),2)</f>
        <v>143.54</v>
      </c>
      <c r="AN438" s="45">
        <f t="shared" si="222"/>
        <v>287.08</v>
      </c>
      <c r="AO438" s="44">
        <f>VLOOKUP(D438,[1]apoio_Preços_MGS!$A$6:$AN$238,40,FALSE)</f>
        <v>651.86</v>
      </c>
      <c r="AP438" s="44">
        <f>IF(J438="demais municípios",VLOOKUP(D438,[1]apoio_Preços_MGS!$A$6:$AN$238,40,FALSE),0)</f>
        <v>0</v>
      </c>
      <c r="AQ438" s="44">
        <f>TRUNC(ROUND(($I438)/(1-($I438)),5)*VLOOKUP(D438,[1]apoio_Preços_MGS!$A$6:$AN$238,40,FALSE)+VLOOKUP(D438,[1]apoio_Preços_MGS!$A$6:$AN$238,40,FALSE),2)</f>
        <v>686.16</v>
      </c>
      <c r="AR438" s="45">
        <f t="shared" si="223"/>
        <v>1372.32</v>
      </c>
      <c r="AS438" s="45">
        <f t="shared" si="220"/>
        <v>1659.3999999999999</v>
      </c>
      <c r="AT438" s="45">
        <f t="shared" si="221"/>
        <v>99563.999999999985</v>
      </c>
      <c r="AU438" s="62"/>
      <c r="AV438" s="46"/>
      <c r="AW438" s="47"/>
      <c r="AX438" s="48"/>
      <c r="AY438" s="49"/>
      <c r="BA438" s="48"/>
    </row>
    <row r="439" spans="1:53" ht="19.5" customHeight="1" x14ac:dyDescent="0.25">
      <c r="A439" s="33" t="str">
        <f t="shared" si="216"/>
        <v>158461440,05</v>
      </c>
      <c r="B439" s="33" t="str">
        <f t="shared" si="217"/>
        <v>C0,05</v>
      </c>
      <c r="C439" s="34" t="str">
        <f>VLOOKUP(D439,[1]apoio_Preços_MGS!$A$6:$B$238,2,FALSE)</f>
        <v>OPERADOR DE CFTV</v>
      </c>
      <c r="D439" s="35" t="s">
        <v>51</v>
      </c>
      <c r="E439" s="33" t="str">
        <f>VLOOKUP(D439,[1]apoio_Preços_MGS!$A$6:$F$238,6,FALSE)</f>
        <v>OPERADOR DE CFTV - (PERIC.) - 12x36 DIURNO - 44H</v>
      </c>
      <c r="F439" s="36">
        <f>IFERROR(VLOOKUP(D439,'[1]apoio_cód catmas'!$B$2:$C$863,2,FALSE),0)</f>
        <v>158461</v>
      </c>
      <c r="G439" s="33" t="str">
        <f>IF(H439="N/A",VLOOKUP(F439&amp;40,'[1]apoio_cód catmas'!$A$1:$G$233,4,FALSE),VLOOKUP(F439&amp;H439,'[1]apoio_cód catmas'!$A$1:$G$233,4,FALSE))</f>
        <v>OPERADOR DE CIRCUITO FECHADO DE TELEVISAO (CFTV ) - (PERICULOSIDADE) - 12X36 DIURNO - 44H</v>
      </c>
      <c r="H439" s="36">
        <v>44</v>
      </c>
      <c r="I439" s="37">
        <v>0.05</v>
      </c>
      <c r="J439" s="38" t="s">
        <v>47</v>
      </c>
      <c r="K439" s="39">
        <v>27</v>
      </c>
      <c r="L439" s="39">
        <f>K439*52</f>
        <v>1404</v>
      </c>
      <c r="M439" s="40">
        <f>VLOOKUP(D439,[1]apoio_Preços_MGS!$A$6:$AN$238,18,FALSE)</f>
        <v>2569.3032111728389</v>
      </c>
      <c r="N439" s="40">
        <f>VLOOKUP(D439,[1]apoio_Preços_MGS!$A$6:$AN$238,19,FALSE)</f>
        <v>770.7909633518517</v>
      </c>
      <c r="O439" s="40">
        <f>VLOOKUP(D439,[1]apoio_Preços_MGS!$A$6:$AN$238,20,FALSE)</f>
        <v>0</v>
      </c>
      <c r="P439" s="40">
        <f>VLOOKUP(D439,[1]apoio_Preços_MGS!$A$6:$AN$238,21,FALSE)</f>
        <v>0</v>
      </c>
      <c r="Q439" s="40">
        <f>VLOOKUP(D439,[1]apoio_Preços_MGS!$A$6:$AN$238,22,FALSE)</f>
        <v>0</v>
      </c>
      <c r="R439" s="40">
        <f>VLOOKUP(D439,[1]apoio_Preços_MGS!$A$6:$AN$238,23,FALSE)</f>
        <v>0</v>
      </c>
      <c r="S439" s="40">
        <f>VLOOKUP(D439,[1]apoio_Preços_MGS!$A$6:$AN$238,24,FALSE)</f>
        <v>0</v>
      </c>
      <c r="T439" s="40">
        <f>VLOOKUP(D439,[1]apoio_Preços_MGS!$A$6:$AN$238,25,FALSE)</f>
        <v>4.6390196868398474</v>
      </c>
      <c r="U439" s="40">
        <f t="shared" si="214"/>
        <v>3344.7331942115302</v>
      </c>
      <c r="V439" s="41">
        <f>VLOOKUP(D439,[1]apoio_Preços_MGS!$A$6:$AN$238,27,FALSE)</f>
        <v>0.81799999999999995</v>
      </c>
      <c r="W439" s="40">
        <f t="shared" si="215"/>
        <v>2735.9917528650317</v>
      </c>
      <c r="X439" s="40">
        <f>VLOOKUP(D439,[1]apoio_Preços_MGS!$A$6:$AN$238,29,FALSE)</f>
        <v>26.792727272727276</v>
      </c>
      <c r="Y439" s="40">
        <f>VLOOKUP(D439,[1]apoio_Preços_MGS!$A$6:$AN$238,30,FALSE)</f>
        <v>0</v>
      </c>
      <c r="Z439" s="40">
        <f t="shared" si="239"/>
        <v>26.792727272727276</v>
      </c>
      <c r="AA439" s="40">
        <f>VLOOKUP(D439,[1]apoio_Preços_MGS!$A$6:$AN$238,32,FALSE)</f>
        <v>4.9330621654518501</v>
      </c>
      <c r="AB439" s="40">
        <f>VLOOKUP(D439,[1]apoio_Preços_MGS!$A$6:$AN$238,33,FALSE)</f>
        <v>347.56544444444415</v>
      </c>
      <c r="AC439" s="41">
        <f>VLOOKUP(D439,[1]apoio_Preços_MGS!$A$6:$AN$238,34,FALSE)</f>
        <v>0</v>
      </c>
      <c r="AD439" s="40">
        <f>(U439+W439+Z439+AB439+AA439+VLOOKUP(C439,[1]apoio_Prec_Folha!$A:$S,7,FALSE))*AC439</f>
        <v>0</v>
      </c>
      <c r="AE439" s="42">
        <f>VLOOKUP(D439,[1]apoio_Preços_MGS!$A$6:$AN$238,36,FALSE)</f>
        <v>7.0000000000000007E-2</v>
      </c>
      <c r="AF439" s="40">
        <f>(U439+W439+Z439+AB439+AD439+AA439+VLOOKUP(C439,[1]apoio_Prec_Folha!$A:$S,7,FALSE))*AE439</f>
        <v>490.81173266714308</v>
      </c>
      <c r="AG439" s="40">
        <f t="shared" si="240"/>
        <v>6950.82</v>
      </c>
      <c r="AH439" s="43">
        <f t="shared" si="241"/>
        <v>8105.9</v>
      </c>
      <c r="AI439" s="43">
        <f t="shared" si="242"/>
        <v>218859.3</v>
      </c>
      <c r="AJ439" s="43">
        <f t="shared" si="243"/>
        <v>11380683.6</v>
      </c>
      <c r="AK439" s="44">
        <f>VLOOKUP(D439,[1]apoio_Preços_MGS!$A$6:$AN$238,39,FALSE)</f>
        <v>200.00000000000003</v>
      </c>
      <c r="AL439" s="44">
        <f>IF(J439="demais municípios",VLOOKUP(D439,[1]apoio_Preços_MGS!$A$6:$AN$238,39,FALSE),0)</f>
        <v>0</v>
      </c>
      <c r="AM439" s="44">
        <f>TRUNC(ROUND(($I439)/(1-($I439)),5)*VLOOKUP(D439,[1]apoio_Preços_MGS!$A$6:$AN$238,39,FALSE)+VLOOKUP(D439,[1]apoio_Preços_MGS!$A$6:$AN$238,39,FALSE),2)</f>
        <v>210.52</v>
      </c>
      <c r="AN439" s="45">
        <f t="shared" si="222"/>
        <v>5684.04</v>
      </c>
      <c r="AO439" s="44">
        <f>VLOOKUP(D439,[1]apoio_Preços_MGS!$A$6:$AN$238,40,FALSE)</f>
        <v>551.58000000000004</v>
      </c>
      <c r="AP439" s="44">
        <f>IF(J439="demais municípios",VLOOKUP(D439,[1]apoio_Preços_MGS!$A$6:$AN$238,40,FALSE),0)</f>
        <v>0</v>
      </c>
      <c r="AQ439" s="44">
        <f>TRUNC(ROUND(($I439)/(1-($I439)),5)*VLOOKUP(D439,[1]apoio_Preços_MGS!$A$6:$AN$238,40,FALSE)+VLOOKUP(D439,[1]apoio_Preços_MGS!$A$6:$AN$238,40,FALSE),2)</f>
        <v>580.6</v>
      </c>
      <c r="AR439" s="45">
        <f t="shared" si="223"/>
        <v>15676.2</v>
      </c>
      <c r="AS439" s="45">
        <f t="shared" si="220"/>
        <v>21360.240000000002</v>
      </c>
      <c r="AT439" s="45">
        <f t="shared" si="221"/>
        <v>1281614.4000000001</v>
      </c>
      <c r="AU439" s="62"/>
      <c r="AV439" s="46"/>
      <c r="AW439" s="47"/>
      <c r="AX439" s="48"/>
      <c r="AY439" s="49"/>
      <c r="BA439" s="48"/>
    </row>
    <row r="440" spans="1:53" ht="19.5" customHeight="1" x14ac:dyDescent="0.25">
      <c r="A440" s="33" t="str">
        <f t="shared" si="216"/>
        <v>158470440,05</v>
      </c>
      <c r="B440" s="33" t="str">
        <f t="shared" si="217"/>
        <v>D0,05</v>
      </c>
      <c r="C440" s="34" t="str">
        <f>VLOOKUP(D440,[1]apoio_Preços_MGS!$A$6:$B$238,2,FALSE)</f>
        <v>OPERADOR DE CFTV</v>
      </c>
      <c r="D440" s="35" t="s">
        <v>52</v>
      </c>
      <c r="E440" s="33" t="str">
        <f>VLOOKUP(D440,[1]apoio_Preços_MGS!$A$6:$F$238,6,FALSE)</f>
        <v>OPERADOR DE CFTV - (PERIC.) - 12x36 NOTURNO - 44H</v>
      </c>
      <c r="F440" s="36">
        <f>IFERROR(VLOOKUP(D440,'[1]apoio_cód catmas'!$B$2:$C$863,2,FALSE),0)</f>
        <v>158470</v>
      </c>
      <c r="G440" s="33" t="str">
        <f>IF(H440="N/A",VLOOKUP(F440&amp;40,'[1]apoio_cód catmas'!$A$1:$G$233,4,FALSE),VLOOKUP(F440&amp;H440,'[1]apoio_cód catmas'!$A$1:$G$233,4,FALSE))</f>
        <v>OPERADOR DE CIRCUITO FECHADO DE TELEVISAO (CFTV ) - (PERICULOSIDADE) - 12X36 NOTURNO - 44H</v>
      </c>
      <c r="H440" s="36">
        <v>44</v>
      </c>
      <c r="I440" s="37">
        <v>0.05</v>
      </c>
      <c r="J440" s="38" t="s">
        <v>47</v>
      </c>
      <c r="K440" s="39">
        <v>27</v>
      </c>
      <c r="L440" s="39">
        <f>K440*52</f>
        <v>1404</v>
      </c>
      <c r="M440" s="40">
        <f>VLOOKUP(D440,[1]apoio_Preços_MGS!$A$6:$AN$238,18,FALSE)</f>
        <v>2569.3032111728389</v>
      </c>
      <c r="N440" s="40">
        <f>VLOOKUP(D440,[1]apoio_Preços_MGS!$A$6:$AN$238,19,FALSE)</f>
        <v>770.7909633518517</v>
      </c>
      <c r="O440" s="40">
        <f>VLOOKUP(D440,[1]apoio_Preços_MGS!$A$6:$AN$238,20,FALSE)</f>
        <v>778.10652883679836</v>
      </c>
      <c r="P440" s="40">
        <f>VLOOKUP(D440,[1]apoio_Preços_MGS!$A$6:$AN$238,21,FALSE)</f>
        <v>16.984870913200066</v>
      </c>
      <c r="Q440" s="40">
        <f>VLOOKUP(D440,[1]apoio_Preços_MGS!$A$6:$AN$238,22,FALSE)</f>
        <v>63.693246816520457</v>
      </c>
      <c r="R440" s="40">
        <f>VLOOKUP(D440,[1]apoio_Preços_MGS!$A$6:$AN$238,23,FALSE)</f>
        <v>0</v>
      </c>
      <c r="S440" s="40">
        <f>VLOOKUP(D440,[1]apoio_Preços_MGS!$A$6:$AN$238,24,FALSE)</f>
        <v>0</v>
      </c>
      <c r="T440" s="40">
        <f>VLOOKUP(D440,[1]apoio_Preços_MGS!$A$6:$AN$238,25,FALSE)</f>
        <v>4.6390196868398474</v>
      </c>
      <c r="U440" s="40">
        <f t="shared" si="214"/>
        <v>4203.5178407780495</v>
      </c>
      <c r="V440" s="41">
        <f>VLOOKUP(D440,[1]apoio_Preços_MGS!$A$6:$AN$238,27,FALSE)</f>
        <v>0.81799999999999995</v>
      </c>
      <c r="W440" s="40">
        <f t="shared" si="215"/>
        <v>3438.4775937564441</v>
      </c>
      <c r="X440" s="40">
        <f>VLOOKUP(D440,[1]apoio_Preços_MGS!$A$6:$AN$238,29,FALSE)</f>
        <v>26.792727272727276</v>
      </c>
      <c r="Y440" s="40">
        <f>VLOOKUP(D440,[1]apoio_Preços_MGS!$A$6:$AN$238,30,FALSE)</f>
        <v>0</v>
      </c>
      <c r="Z440" s="40">
        <f t="shared" si="239"/>
        <v>26.792727272727276</v>
      </c>
      <c r="AA440" s="40">
        <f>VLOOKUP(D440,[1]apoio_Preços_MGS!$A$6:$AN$238,32,FALSE)</f>
        <v>4.9330621654518501</v>
      </c>
      <c r="AB440" s="40">
        <f>VLOOKUP(D440,[1]apoio_Preços_MGS!$A$6:$AN$238,33,FALSE)</f>
        <v>347.56544444444415</v>
      </c>
      <c r="AC440" s="41">
        <f>VLOOKUP(D440,[1]apoio_Preços_MGS!$A$6:$AN$238,34,FALSE)</f>
        <v>0</v>
      </c>
      <c r="AD440" s="40">
        <f>(U440+W440+Z440+AB440+AA440+VLOOKUP(C440,[1]apoio_Prec_Folha!$A:$S,7,FALSE))*AC440</f>
        <v>0</v>
      </c>
      <c r="AE440" s="42">
        <f>VLOOKUP(D440,[1]apoio_Preços_MGS!$A$6:$AN$238,36,FALSE)</f>
        <v>7.0000000000000007E-2</v>
      </c>
      <c r="AF440" s="40">
        <f>(U440+W440+Z440+AB440+AD440+AA440+VLOOKUP(C440,[1]apoio_Prec_Folha!$A:$S,7,FALSE))*AE440</f>
        <v>600.10066678919839</v>
      </c>
      <c r="AG440" s="40">
        <f t="shared" si="240"/>
        <v>8621.3799999999992</v>
      </c>
      <c r="AH440" s="43">
        <f t="shared" si="241"/>
        <v>10054.08</v>
      </c>
      <c r="AI440" s="43">
        <f t="shared" si="242"/>
        <v>271460.15999999997</v>
      </c>
      <c r="AJ440" s="43">
        <f t="shared" si="243"/>
        <v>14115928.32</v>
      </c>
      <c r="AK440" s="44">
        <f>VLOOKUP(D440,[1]apoio_Preços_MGS!$A$6:$AN$238,39,FALSE)</f>
        <v>200.00000000000003</v>
      </c>
      <c r="AL440" s="44">
        <f>IF(J440="demais municípios",VLOOKUP(D440,[1]apoio_Preços_MGS!$A$6:$AN$238,39,FALSE),0)</f>
        <v>0</v>
      </c>
      <c r="AM440" s="44">
        <f>TRUNC(ROUND(($I440)/(1-($I440)),5)*VLOOKUP(D440,[1]apoio_Preços_MGS!$A$6:$AN$238,39,FALSE)+VLOOKUP(D440,[1]apoio_Preços_MGS!$A$6:$AN$238,39,FALSE),2)</f>
        <v>210.52</v>
      </c>
      <c r="AN440" s="45">
        <f t="shared" si="222"/>
        <v>5684.04</v>
      </c>
      <c r="AO440" s="44">
        <f>VLOOKUP(D440,[1]apoio_Preços_MGS!$A$6:$AN$238,40,FALSE)</f>
        <v>551.58000000000004</v>
      </c>
      <c r="AP440" s="44">
        <f>IF(J440="demais municípios",VLOOKUP(D440,[1]apoio_Preços_MGS!$A$6:$AN$238,40,FALSE),0)</f>
        <v>0</v>
      </c>
      <c r="AQ440" s="44">
        <f>TRUNC(ROUND(($I440)/(1-($I440)),5)*VLOOKUP(D440,[1]apoio_Preços_MGS!$A$6:$AN$238,40,FALSE)+VLOOKUP(D440,[1]apoio_Preços_MGS!$A$6:$AN$238,40,FALSE),2)</f>
        <v>580.6</v>
      </c>
      <c r="AR440" s="45">
        <f t="shared" si="223"/>
        <v>15676.2</v>
      </c>
      <c r="AS440" s="45">
        <f t="shared" si="220"/>
        <v>21360.240000000002</v>
      </c>
      <c r="AT440" s="45">
        <f t="shared" si="221"/>
        <v>1281614.4000000001</v>
      </c>
      <c r="AU440" s="62"/>
      <c r="AV440" s="46"/>
      <c r="AW440" s="47"/>
      <c r="AX440" s="48"/>
      <c r="AY440" s="49"/>
      <c r="BA440" s="48"/>
    </row>
    <row r="441" spans="1:53" ht="19.5" customHeight="1" x14ac:dyDescent="0.25">
      <c r="A441" s="33" t="str">
        <f t="shared" si="216"/>
        <v>63436400,05</v>
      </c>
      <c r="B441" s="33" t="str">
        <f t="shared" si="217"/>
        <v>19060,05</v>
      </c>
      <c r="C441" s="34" t="str">
        <f>VLOOKUP(D441,[1]apoio_Preços_MGS!$A$6:$B$238,2,FALSE)</f>
        <v>OPERADOR DE EMPILHADEIRA</v>
      </c>
      <c r="D441" s="35">
        <v>1906</v>
      </c>
      <c r="E441" s="33" t="str">
        <f>VLOOKUP(D441,[1]apoio_Preços_MGS!$A$6:$F$238,6,FALSE)</f>
        <v>OPERADOR DE EMPILHADEIRA - DIARISTA DIURNO - 40H</v>
      </c>
      <c r="F441" s="36">
        <f>IFERROR(VLOOKUP(D441,'[1]apoio_cód catmas'!$B$2:$C$863,2,FALSE),0)</f>
        <v>63436</v>
      </c>
      <c r="G441" s="33" t="str">
        <f>IF(H441="N/A",VLOOKUP(F441&amp;40,'[1]apoio_cód catmas'!$A$1:$G$233,4,FALSE),VLOOKUP(F441&amp;H441,'[1]apoio_cód catmas'!$A$1:$G$233,4,FALSE))</f>
        <v>OPERADOR DE EMPILHADEIRA - 40 OU 44H</v>
      </c>
      <c r="H441" s="36">
        <v>40</v>
      </c>
      <c r="I441" s="37">
        <v>0.05</v>
      </c>
      <c r="J441" s="38" t="s">
        <v>47</v>
      </c>
      <c r="K441" s="39">
        <v>12</v>
      </c>
      <c r="L441" s="39">
        <f t="shared" ref="L441" si="244">K441*60</f>
        <v>720</v>
      </c>
      <c r="M441" s="40">
        <f>VLOOKUP(D441,[1]apoio_Preços_MGS!$A$6:$AN$238,18,FALSE)</f>
        <v>2384.3402272727271</v>
      </c>
      <c r="N441" s="40">
        <f>VLOOKUP(D441,[1]apoio_Preços_MGS!$A$6:$AN$238,19,FALSE)</f>
        <v>0</v>
      </c>
      <c r="O441" s="40">
        <f>VLOOKUP(D441,[1]apoio_Preços_MGS!$A$6:$AN$238,20,FALSE)</f>
        <v>0</v>
      </c>
      <c r="P441" s="40">
        <f>VLOOKUP(D441,[1]apoio_Preços_MGS!$A$6:$AN$238,21,FALSE)</f>
        <v>0</v>
      </c>
      <c r="Q441" s="40">
        <f>VLOOKUP(D441,[1]apoio_Preços_MGS!$A$6:$AN$238,22,FALSE)</f>
        <v>0</v>
      </c>
      <c r="R441" s="40">
        <f>VLOOKUP(D441,[1]apoio_Preços_MGS!$A$6:$AN$238,23,FALSE)</f>
        <v>0</v>
      </c>
      <c r="S441" s="40">
        <f>VLOOKUP(D441,[1]apoio_Preços_MGS!$A$6:$AN$238,24,FALSE)</f>
        <v>0</v>
      </c>
      <c r="T441" s="40">
        <f>VLOOKUP(D441,[1]apoio_Preços_MGS!$A$6:$AN$238,25,FALSE)</f>
        <v>0</v>
      </c>
      <c r="U441" s="40">
        <f t="shared" si="214"/>
        <v>2384.3402272727271</v>
      </c>
      <c r="V441" s="41">
        <f>VLOOKUP(D441,[1]apoio_Preços_MGS!$A$6:$AN$238,27,FALSE)</f>
        <v>0.81799999999999995</v>
      </c>
      <c r="W441" s="40">
        <f t="shared" si="215"/>
        <v>1950.3903059090908</v>
      </c>
      <c r="X441" s="40">
        <f>VLOOKUP(D441,[1]apoio_Preços_MGS!$A$6:$AN$238,29,FALSE)</f>
        <v>20.923636363636362</v>
      </c>
      <c r="Y441" s="40">
        <f>VLOOKUP(D441,[1]apoio_Preços_MGS!$A$6:$AN$238,30,FALSE)</f>
        <v>11.804545454545455</v>
      </c>
      <c r="Z441" s="40">
        <f>Y441+X441</f>
        <v>32.728181818181817</v>
      </c>
      <c r="AA441" s="40">
        <f>VLOOKUP(D441,[1]apoio_Preços_MGS!$A$6:$AN$238,32,FALSE)</f>
        <v>4.577933236363636</v>
      </c>
      <c r="AB441" s="40">
        <f>VLOOKUP(D441,[1]apoio_Preços_MGS!$A$6:$AN$238,33,FALSE)</f>
        <v>569.0030303030303</v>
      </c>
      <c r="AC441" s="41">
        <f>VLOOKUP(D441,[1]apoio_Preços_MGS!$A$6:$AN$238,34,FALSE)</f>
        <v>0</v>
      </c>
      <c r="AD441" s="40">
        <f>(U441+W441+Z441+AB441+AA441+VLOOKUP(C441,[1]apoio_Prec_Folha!$A:$S,7,FALSE))*AC441</f>
        <v>0</v>
      </c>
      <c r="AE441" s="42">
        <f>VLOOKUP(D441,[1]apoio_Preços_MGS!$A$6:$AN$238,36,FALSE)</f>
        <v>7.0000000000000007E-2</v>
      </c>
      <c r="AF441" s="40">
        <f>(U441+W441+Z441+AB441+AD441+AA441+VLOOKUP(C441,[1]apoio_Prec_Folha!$A:$S,7,FALSE))*AE441</f>
        <v>384.48337749775754</v>
      </c>
      <c r="AG441" s="40">
        <f>TRUNC(U441+W441+Z441+AB441+AA441+AD441+AF441,2)</f>
        <v>5325.52</v>
      </c>
      <c r="AH441" s="43">
        <f>TRUNC($AG441*ROUND((7.6%+1.65%+$I441)/(1-(7.6%+1.65%+$I441)),5)+$AG441,2)</f>
        <v>6210.51</v>
      </c>
      <c r="AI441" s="43">
        <f>AH441*K441</f>
        <v>74526.12</v>
      </c>
      <c r="AJ441" s="43">
        <f>AH441*L441</f>
        <v>4471567.2</v>
      </c>
      <c r="AK441" s="44">
        <f>VLOOKUP(D441,[1]apoio_Preços_MGS!$A$6:$AN$238,39,FALSE)</f>
        <v>181.81818181818184</v>
      </c>
      <c r="AL441" s="44">
        <f>IF(J441="demais municípios",VLOOKUP(D441,[1]apoio_Preços_MGS!$A$6:$AN$238,39,FALSE),0)</f>
        <v>0</v>
      </c>
      <c r="AM441" s="44">
        <f>TRUNC(ROUND(($I441)/(1-($I441)),5)*VLOOKUP(D441,[1]apoio_Preços_MGS!$A$6:$AN$238,39,FALSE)+VLOOKUP(D441,[1]apoio_Preços_MGS!$A$6:$AN$238,39,FALSE),2)</f>
        <v>191.38</v>
      </c>
      <c r="AN441" s="45">
        <f t="shared" si="222"/>
        <v>2296.56</v>
      </c>
      <c r="AO441" s="44">
        <f>VLOOKUP(D441,[1]apoio_Preços_MGS!$A$6:$AN$238,40,FALSE)</f>
        <v>551.58000000000004</v>
      </c>
      <c r="AP441" s="44">
        <f>IF(J441="demais municípios",VLOOKUP(D441,[1]apoio_Preços_MGS!$A$6:$AN$238,40,FALSE),0)</f>
        <v>0</v>
      </c>
      <c r="AQ441" s="44">
        <f>TRUNC(ROUND(($I441)/(1-($I441)),5)*VLOOKUP(D441,[1]apoio_Preços_MGS!$A$6:$AN$238,40,FALSE)+VLOOKUP(D441,[1]apoio_Preços_MGS!$A$6:$AN$238,40,FALSE),2)</f>
        <v>580.6</v>
      </c>
      <c r="AR441" s="45">
        <f t="shared" si="223"/>
        <v>6967.2000000000007</v>
      </c>
      <c r="AS441" s="45">
        <f t="shared" si="220"/>
        <v>9263.76</v>
      </c>
      <c r="AT441" s="45">
        <f t="shared" si="221"/>
        <v>555825.6</v>
      </c>
      <c r="AU441" s="62"/>
      <c r="AV441" s="46"/>
      <c r="AW441" s="47"/>
      <c r="AX441" s="48"/>
      <c r="AY441" s="49"/>
      <c r="BA441" s="48"/>
    </row>
    <row r="442" spans="1:53" ht="19.5" customHeight="1" x14ac:dyDescent="0.25">
      <c r="A442" s="33" t="str">
        <f t="shared" si="216"/>
        <v>63436440,03</v>
      </c>
      <c r="B442" s="33" t="str">
        <f t="shared" si="217"/>
        <v>1170,03</v>
      </c>
      <c r="C442" s="34" t="str">
        <f>VLOOKUP(D442,[1]apoio_Preços_MGS!$A$6:$B$238,2,FALSE)</f>
        <v>OPERADOR DE EMPILHADEIRA</v>
      </c>
      <c r="D442" s="35">
        <v>117</v>
      </c>
      <c r="E442" s="33" t="str">
        <f>VLOOKUP(D442,[1]apoio_Preços_MGS!$A$6:$F$238,6,FALSE)</f>
        <v>OPERADOR DE EMPILHADEIRA - DIARISTA DIURNO - 44H</v>
      </c>
      <c r="F442" s="36">
        <f>IFERROR(VLOOKUP(D442,'[1]apoio_cód catmas'!$B$2:$C$863,2,FALSE),0)</f>
        <v>63436</v>
      </c>
      <c r="G442" s="33" t="str">
        <f>IF(H442="N/A",VLOOKUP(F442&amp;40,'[1]apoio_cód catmas'!$A$1:$G$233,4,FALSE),VLOOKUP(F442&amp;H442,'[1]apoio_cód catmas'!$A$1:$G$233,4,FALSE))</f>
        <v>OPERADOR DE EMPILHADEIRA - 40 OU 44H</v>
      </c>
      <c r="H442" s="36">
        <v>44</v>
      </c>
      <c r="I442" s="37">
        <v>0.03</v>
      </c>
      <c r="J442" s="38" t="s">
        <v>46</v>
      </c>
      <c r="K442" s="39">
        <v>7</v>
      </c>
      <c r="L442" s="39">
        <f t="shared" si="238"/>
        <v>420</v>
      </c>
      <c r="M442" s="40">
        <f>VLOOKUP(D442,[1]apoio_Preços_MGS!$A$6:$AN$238,18,FALSE)</f>
        <v>2622.7742499999999</v>
      </c>
      <c r="N442" s="40">
        <f>VLOOKUP(D442,[1]apoio_Preços_MGS!$A$6:$AN$238,19,FALSE)</f>
        <v>0</v>
      </c>
      <c r="O442" s="40">
        <f>VLOOKUP(D442,[1]apoio_Preços_MGS!$A$6:$AN$238,20,FALSE)</f>
        <v>0</v>
      </c>
      <c r="P442" s="40">
        <f>VLOOKUP(D442,[1]apoio_Preços_MGS!$A$6:$AN$238,21,FALSE)</f>
        <v>0</v>
      </c>
      <c r="Q442" s="40">
        <f>VLOOKUP(D442,[1]apoio_Preços_MGS!$A$6:$AN$238,22,FALSE)</f>
        <v>0</v>
      </c>
      <c r="R442" s="40">
        <f>VLOOKUP(D442,[1]apoio_Preços_MGS!$A$6:$AN$238,23,FALSE)</f>
        <v>0</v>
      </c>
      <c r="S442" s="40">
        <f>VLOOKUP(D442,[1]apoio_Preços_MGS!$A$6:$AN$238,24,FALSE)</f>
        <v>0</v>
      </c>
      <c r="T442" s="40">
        <f>VLOOKUP(D442,[1]apoio_Preços_MGS!$A$6:$AN$238,25,FALSE)</f>
        <v>0</v>
      </c>
      <c r="U442" s="40">
        <f t="shared" si="214"/>
        <v>2622.7742499999999</v>
      </c>
      <c r="V442" s="41">
        <f>VLOOKUP(D442,[1]apoio_Preços_MGS!$A$6:$AN$238,27,FALSE)</f>
        <v>0.81799999999999995</v>
      </c>
      <c r="W442" s="40">
        <f t="shared" si="215"/>
        <v>2145.4293364999999</v>
      </c>
      <c r="X442" s="40">
        <f>VLOOKUP(D442,[1]apoio_Preços_MGS!$A$6:$AN$238,29,FALSE)</f>
        <v>20.923636363636362</v>
      </c>
      <c r="Y442" s="40">
        <f>VLOOKUP(D442,[1]apoio_Preços_MGS!$A$6:$AN$238,30,FALSE)</f>
        <v>11.804545454545455</v>
      </c>
      <c r="Z442" s="40">
        <f t="shared" si="239"/>
        <v>32.728181818181817</v>
      </c>
      <c r="AA442" s="40">
        <f>VLOOKUP(D442,[1]apoio_Preços_MGS!$A$6:$AN$238,32,FALSE)</f>
        <v>5.0357265599999996</v>
      </c>
      <c r="AB442" s="40">
        <f>VLOOKUP(D442,[1]apoio_Preços_MGS!$A$6:$AN$238,33,FALSE)</f>
        <v>554.6966666666666</v>
      </c>
      <c r="AC442" s="41">
        <f>VLOOKUP(D442,[1]apoio_Preços_MGS!$A$6:$AN$238,34,FALSE)</f>
        <v>0</v>
      </c>
      <c r="AD442" s="40">
        <f>(U442+W442+Z442+AB442+AA442+VLOOKUP(C442,[1]apoio_Prec_Folha!$A:$S,7,FALSE))*AC442</f>
        <v>0</v>
      </c>
      <c r="AE442" s="42">
        <f>VLOOKUP(D442,[1]apoio_Preços_MGS!$A$6:$AN$238,36,FALSE)</f>
        <v>7.0000000000000007E-2</v>
      </c>
      <c r="AF442" s="40">
        <f>(U442+W442+Z442+AB442+AD442+AA442+VLOOKUP(C442,[1]apoio_Prec_Folha!$A:$S,7,FALSE))*AE442</f>
        <v>413.85709130813939</v>
      </c>
      <c r="AG442" s="40">
        <f t="shared" si="240"/>
        <v>5774.52</v>
      </c>
      <c r="AH442" s="43">
        <f t="shared" si="241"/>
        <v>6580.64</v>
      </c>
      <c r="AI442" s="43">
        <f t="shared" si="242"/>
        <v>46064.480000000003</v>
      </c>
      <c r="AJ442" s="43">
        <f t="shared" si="243"/>
        <v>2763868.8000000003</v>
      </c>
      <c r="AK442" s="44">
        <f>VLOOKUP(D442,[1]apoio_Preços_MGS!$A$6:$AN$238,39,FALSE)</f>
        <v>200.00000000000003</v>
      </c>
      <c r="AL442" s="44">
        <f>IF(J442="demais municípios",VLOOKUP(D442,[1]apoio_Preços_MGS!$A$6:$AN$238,39,FALSE),0)</f>
        <v>200.00000000000003</v>
      </c>
      <c r="AM442" s="44">
        <v>0</v>
      </c>
      <c r="AN442" s="45">
        <f t="shared" ref="AN442:AN443" si="245">AK442*K442</f>
        <v>1400.0000000000002</v>
      </c>
      <c r="AO442" s="44">
        <f>VLOOKUP(D442,[1]apoio_Preços_MGS!$A$6:$AN$238,40,FALSE)</f>
        <v>551.58000000000004</v>
      </c>
      <c r="AP442" s="44">
        <f>IF(J442="demais municípios",VLOOKUP(D442,[1]apoio_Preços_MGS!$A$6:$AN$238,40,FALSE),0)</f>
        <v>551.58000000000004</v>
      </c>
      <c r="AQ442" s="44">
        <v>0</v>
      </c>
      <c r="AR442" s="45">
        <f t="shared" ref="AR442:AR443" si="246">AO442*K442</f>
        <v>3861.0600000000004</v>
      </c>
      <c r="AS442" s="45">
        <f t="shared" si="220"/>
        <v>5261.06</v>
      </c>
      <c r="AT442" s="45">
        <f t="shared" si="221"/>
        <v>315663.60000000003</v>
      </c>
      <c r="AU442" s="62"/>
      <c r="AV442" s="46"/>
      <c r="AW442" s="47"/>
      <c r="AX442" s="48"/>
      <c r="AY442" s="49"/>
      <c r="BA442" s="48"/>
    </row>
    <row r="443" spans="1:53" ht="19.5" customHeight="1" x14ac:dyDescent="0.25">
      <c r="A443" s="33" t="str">
        <f t="shared" si="216"/>
        <v>63380400,038</v>
      </c>
      <c r="B443" s="33" t="str">
        <f t="shared" si="217"/>
        <v>1030,038</v>
      </c>
      <c r="C443" s="34" t="str">
        <f>VLOOKUP(D443,[1]apoio_Preços_MGS!$A$6:$B$238,2,FALSE)</f>
        <v>OPERADOR DE MÁQUINAS AGRÍCOLAS</v>
      </c>
      <c r="D443" s="35">
        <v>103</v>
      </c>
      <c r="E443" s="33" t="str">
        <f>VLOOKUP(D443,[1]apoio_Preços_MGS!$A$6:$F$238,6,FALSE)</f>
        <v>OPERADOR DE MÁQUINAS AGRÍCOLAS - (PERIC.) - DIARISTA DIURNO - 40H</v>
      </c>
      <c r="F443" s="36">
        <f>IFERROR(VLOOKUP(D443,'[1]apoio_cód catmas'!$B$2:$C$863,2,FALSE),0)</f>
        <v>63380</v>
      </c>
      <c r="G443" s="33" t="str">
        <f>IF(H443="N/A",VLOOKUP(F443&amp;40,'[1]apoio_cód catmas'!$A$1:$G$233,4,FALSE),VLOOKUP(F443&amp;H443,'[1]apoio_cód catmas'!$A$1:$G$233,4,FALSE))</f>
        <v>OPERADOR DE MAQUINAS AGRICOLAS (PERICULOSIDADE) - 40H</v>
      </c>
      <c r="H443" s="36">
        <v>40</v>
      </c>
      <c r="I443" s="37">
        <v>3.7999999999999999E-2</v>
      </c>
      <c r="J443" s="38" t="s">
        <v>46</v>
      </c>
      <c r="K443" s="39">
        <v>5</v>
      </c>
      <c r="L443" s="39">
        <f t="shared" si="238"/>
        <v>300</v>
      </c>
      <c r="M443" s="40">
        <f>VLOOKUP(D443,[1]apoio_Preços_MGS!$A$6:$AN$238,18,FALSE)</f>
        <v>2553.0683499999996</v>
      </c>
      <c r="N443" s="40">
        <f>VLOOKUP(D443,[1]apoio_Preços_MGS!$A$6:$AN$238,19,FALSE)</f>
        <v>765.92050499999982</v>
      </c>
      <c r="O443" s="40">
        <f>VLOOKUP(D443,[1]apoio_Preços_MGS!$A$6:$AN$238,20,FALSE)</f>
        <v>0</v>
      </c>
      <c r="P443" s="40">
        <f>VLOOKUP(D443,[1]apoio_Preços_MGS!$A$6:$AN$238,21,FALSE)</f>
        <v>0</v>
      </c>
      <c r="Q443" s="40">
        <f>VLOOKUP(D443,[1]apoio_Preços_MGS!$A$6:$AN$238,22,FALSE)</f>
        <v>0</v>
      </c>
      <c r="R443" s="40">
        <f>VLOOKUP(D443,[1]apoio_Preços_MGS!$A$6:$AN$238,23,FALSE)</f>
        <v>0</v>
      </c>
      <c r="S443" s="40">
        <f>VLOOKUP(D443,[1]apoio_Preços_MGS!$A$6:$AN$238,24,FALSE)</f>
        <v>0</v>
      </c>
      <c r="T443" s="40">
        <f>VLOOKUP(D443,[1]apoio_Preços_MGS!$A$6:$AN$238,25,FALSE)</f>
        <v>0</v>
      </c>
      <c r="U443" s="40">
        <f t="shared" si="214"/>
        <v>3318.9888549999996</v>
      </c>
      <c r="V443" s="41">
        <f>VLOOKUP(D443,[1]apoio_Preços_MGS!$A$6:$AN$238,27,FALSE)</f>
        <v>0.81799999999999995</v>
      </c>
      <c r="W443" s="40">
        <f t="shared" si="215"/>
        <v>2714.9328833899995</v>
      </c>
      <c r="X443" s="40">
        <f>VLOOKUP(D443,[1]apoio_Preços_MGS!$A$6:$AN$238,29,FALSE)</f>
        <v>31.89</v>
      </c>
      <c r="Y443" s="40">
        <f>VLOOKUP(D443,[1]apoio_Preços_MGS!$A$6:$AN$238,30,FALSE)</f>
        <v>104.32454545454544</v>
      </c>
      <c r="Z443" s="40">
        <f t="shared" si="239"/>
        <v>136.21454545454543</v>
      </c>
      <c r="AA443" s="40">
        <f>VLOOKUP(D443,[1]apoio_Preços_MGS!$A$6:$AN$238,32,FALSE)</f>
        <v>4.9018912319999988</v>
      </c>
      <c r="AB443" s="40">
        <f>VLOOKUP(D443,[1]apoio_Preços_MGS!$A$6:$AN$238,33,FALSE)</f>
        <v>181.90909090909091</v>
      </c>
      <c r="AC443" s="41">
        <f>VLOOKUP(D443,[1]apoio_Preços_MGS!$A$6:$AN$238,34,FALSE)</f>
        <v>0</v>
      </c>
      <c r="AD443" s="40">
        <f>(U443+W443+Z443+AB443+AA443+VLOOKUP(C443,[1]apoio_Prec_Folha!$A:$S,7,FALSE))*AC443</f>
        <v>0</v>
      </c>
      <c r="AE443" s="42">
        <f>VLOOKUP(D443,[1]apoio_Preços_MGS!$A$6:$AN$238,36,FALSE)</f>
        <v>7.0000000000000007E-2</v>
      </c>
      <c r="AF443" s="40">
        <f>(U443+W443+Z443+AB443+AD443+AA443+VLOOKUP(C443,[1]apoio_Prec_Folha!$A:$S,7,FALSE))*AE443</f>
        <v>486.6153086189945</v>
      </c>
      <c r="AG443" s="40">
        <f t="shared" si="240"/>
        <v>6843.56</v>
      </c>
      <c r="AH443" s="43">
        <f t="shared" si="241"/>
        <v>7870.7</v>
      </c>
      <c r="AI443" s="43">
        <f t="shared" si="242"/>
        <v>39353.5</v>
      </c>
      <c r="AJ443" s="43">
        <f t="shared" si="243"/>
        <v>2361210</v>
      </c>
      <c r="AK443" s="44">
        <f>VLOOKUP(D443,[1]apoio_Preços_MGS!$A$6:$AN$238,39,FALSE)</f>
        <v>181.81818181818184</v>
      </c>
      <c r="AL443" s="44">
        <f>IF(J443="demais municípios",VLOOKUP(D443,[1]apoio_Preços_MGS!$A$6:$AN$238,39,FALSE),0)</f>
        <v>181.81818181818184</v>
      </c>
      <c r="AM443" s="44">
        <v>0</v>
      </c>
      <c r="AN443" s="45">
        <f t="shared" si="245"/>
        <v>909.09090909090924</v>
      </c>
      <c r="AO443" s="44">
        <f>VLOOKUP(D443,[1]apoio_Preços_MGS!$A$6:$AN$238,40,FALSE)</f>
        <v>594.70000000000005</v>
      </c>
      <c r="AP443" s="44">
        <f>IF(J443="demais municípios",VLOOKUP(D443,[1]apoio_Preços_MGS!$A$6:$AN$238,40,FALSE),0)</f>
        <v>594.70000000000005</v>
      </c>
      <c r="AQ443" s="44">
        <v>0</v>
      </c>
      <c r="AR443" s="45">
        <f t="shared" si="246"/>
        <v>2973.5</v>
      </c>
      <c r="AS443" s="45">
        <f t="shared" si="220"/>
        <v>3882.590909090909</v>
      </c>
      <c r="AT443" s="45">
        <f t="shared" si="221"/>
        <v>232955.45454545453</v>
      </c>
      <c r="AU443" s="62"/>
      <c r="AV443" s="46"/>
      <c r="AW443" s="47"/>
      <c r="AX443" s="48"/>
      <c r="AY443" s="49"/>
      <c r="BA443" s="48"/>
    </row>
    <row r="444" spans="1:53" ht="19.5" customHeight="1" x14ac:dyDescent="0.25">
      <c r="A444" s="33" t="str">
        <f t="shared" si="216"/>
        <v>63380400,05</v>
      </c>
      <c r="B444" s="33" t="str">
        <f t="shared" si="217"/>
        <v>1030,05</v>
      </c>
      <c r="C444" s="34" t="str">
        <f>VLOOKUP(D444,[1]apoio_Preços_MGS!$A$6:$B$238,2,FALSE)</f>
        <v>OPERADOR DE MÁQUINAS AGRÍCOLAS</v>
      </c>
      <c r="D444" s="35">
        <v>103</v>
      </c>
      <c r="E444" s="33" t="str">
        <f>VLOOKUP(D444,[1]apoio_Preços_MGS!$A$6:$F$238,6,FALSE)</f>
        <v>OPERADOR DE MÁQUINAS AGRÍCOLAS - (PERIC.) - DIARISTA DIURNO - 40H</v>
      </c>
      <c r="F444" s="36">
        <f>IFERROR(VLOOKUP(D444,'[1]apoio_cód catmas'!$B$2:$C$863,2,FALSE),0)</f>
        <v>63380</v>
      </c>
      <c r="G444" s="33" t="str">
        <f>IF(H444="N/A",VLOOKUP(F444&amp;40,'[1]apoio_cód catmas'!$A$1:$G$233,4,FALSE),VLOOKUP(F444&amp;H444,'[1]apoio_cód catmas'!$A$1:$G$233,4,FALSE))</f>
        <v>OPERADOR DE MAQUINAS AGRICOLAS (PERICULOSIDADE) - 40H</v>
      </c>
      <c r="H444" s="36">
        <v>40</v>
      </c>
      <c r="I444" s="37">
        <v>0.05</v>
      </c>
      <c r="J444" s="38" t="s">
        <v>47</v>
      </c>
      <c r="K444" s="39">
        <v>2</v>
      </c>
      <c r="L444" s="39">
        <f t="shared" si="238"/>
        <v>120</v>
      </c>
      <c r="M444" s="40">
        <f>VLOOKUP(D444,[1]apoio_Preços_MGS!$A$6:$AN$238,18,FALSE)</f>
        <v>2553.0683499999996</v>
      </c>
      <c r="N444" s="40">
        <f>VLOOKUP(D444,[1]apoio_Preços_MGS!$A$6:$AN$238,19,FALSE)</f>
        <v>765.92050499999982</v>
      </c>
      <c r="O444" s="40">
        <f>VLOOKUP(D444,[1]apoio_Preços_MGS!$A$6:$AN$238,20,FALSE)</f>
        <v>0</v>
      </c>
      <c r="P444" s="40">
        <f>VLOOKUP(D444,[1]apoio_Preços_MGS!$A$6:$AN$238,21,FALSE)</f>
        <v>0</v>
      </c>
      <c r="Q444" s="40">
        <f>VLOOKUP(D444,[1]apoio_Preços_MGS!$A$6:$AN$238,22,FALSE)</f>
        <v>0</v>
      </c>
      <c r="R444" s="40">
        <f>VLOOKUP(D444,[1]apoio_Preços_MGS!$A$6:$AN$238,23,FALSE)</f>
        <v>0</v>
      </c>
      <c r="S444" s="40">
        <f>VLOOKUP(D444,[1]apoio_Preços_MGS!$A$6:$AN$238,24,FALSE)</f>
        <v>0</v>
      </c>
      <c r="T444" s="40">
        <f>VLOOKUP(D444,[1]apoio_Preços_MGS!$A$6:$AN$238,25,FALSE)</f>
        <v>0</v>
      </c>
      <c r="U444" s="40">
        <f t="shared" ref="U444:U520" si="247">SUM(M444:T444)</f>
        <v>3318.9888549999996</v>
      </c>
      <c r="V444" s="41">
        <f>VLOOKUP(D444,[1]apoio_Preços_MGS!$A$6:$AN$238,27,FALSE)</f>
        <v>0.81799999999999995</v>
      </c>
      <c r="W444" s="40">
        <f t="shared" ref="W444:W520" si="248">U444*V444</f>
        <v>2714.9328833899995</v>
      </c>
      <c r="X444" s="40">
        <f>VLOOKUP(D444,[1]apoio_Preços_MGS!$A$6:$AN$238,29,FALSE)</f>
        <v>31.89</v>
      </c>
      <c r="Y444" s="40">
        <f>VLOOKUP(D444,[1]apoio_Preços_MGS!$A$6:$AN$238,30,FALSE)</f>
        <v>104.32454545454544</v>
      </c>
      <c r="Z444" s="40">
        <f t="shared" si="239"/>
        <v>136.21454545454543</v>
      </c>
      <c r="AA444" s="40">
        <f>VLOOKUP(D444,[1]apoio_Preços_MGS!$A$6:$AN$238,32,FALSE)</f>
        <v>4.9018912319999988</v>
      </c>
      <c r="AB444" s="40">
        <f>VLOOKUP(D444,[1]apoio_Preços_MGS!$A$6:$AN$238,33,FALSE)</f>
        <v>181.90909090909091</v>
      </c>
      <c r="AC444" s="41">
        <f>VLOOKUP(D444,[1]apoio_Preços_MGS!$A$6:$AN$238,34,FALSE)</f>
        <v>0</v>
      </c>
      <c r="AD444" s="40">
        <f>(U444+W444+Z444+AB444+AA444+VLOOKUP(C444,[1]apoio_Prec_Folha!$A:$S,7,FALSE))*AC444</f>
        <v>0</v>
      </c>
      <c r="AE444" s="42">
        <f>VLOOKUP(D444,[1]apoio_Preços_MGS!$A$6:$AN$238,36,FALSE)</f>
        <v>7.0000000000000007E-2</v>
      </c>
      <c r="AF444" s="40">
        <f>(U444+W444+Z444+AB444+AD444+AA444+VLOOKUP(C444,[1]apoio_Prec_Folha!$A:$S,7,FALSE))*AE444</f>
        <v>486.6153086189945</v>
      </c>
      <c r="AG444" s="40">
        <f t="shared" si="240"/>
        <v>6843.56</v>
      </c>
      <c r="AH444" s="43">
        <f t="shared" si="241"/>
        <v>7980.82</v>
      </c>
      <c r="AI444" s="43">
        <f t="shared" si="242"/>
        <v>15961.64</v>
      </c>
      <c r="AJ444" s="43">
        <f t="shared" si="243"/>
        <v>957698.39999999991</v>
      </c>
      <c r="AK444" s="44">
        <f>VLOOKUP(D444,[1]apoio_Preços_MGS!$A$6:$AN$238,39,FALSE)</f>
        <v>181.81818181818184</v>
      </c>
      <c r="AL444" s="44">
        <f>IF(J444="demais municípios",VLOOKUP(D444,[1]apoio_Preços_MGS!$A$6:$AN$238,39,FALSE),0)</f>
        <v>0</v>
      </c>
      <c r="AM444" s="44">
        <f>TRUNC(ROUND(($I444)/(1-($I444)),5)*VLOOKUP(D444,[1]apoio_Preços_MGS!$A$6:$AN$238,39,FALSE)+VLOOKUP(D444,[1]apoio_Preços_MGS!$A$6:$AN$238,39,FALSE),2)</f>
        <v>191.38</v>
      </c>
      <c r="AN444" s="45">
        <f t="shared" si="222"/>
        <v>382.76</v>
      </c>
      <c r="AO444" s="44">
        <f>VLOOKUP(D444,[1]apoio_Preços_MGS!$A$6:$AN$238,40,FALSE)</f>
        <v>594.70000000000005</v>
      </c>
      <c r="AP444" s="44">
        <f>IF(J444="demais municípios",VLOOKUP(D444,[1]apoio_Preços_MGS!$A$6:$AN$238,40,FALSE),0)</f>
        <v>0</v>
      </c>
      <c r="AQ444" s="44">
        <f>TRUNC(ROUND(($I444)/(1-($I444)),5)*VLOOKUP(D444,[1]apoio_Preços_MGS!$A$6:$AN$238,40,FALSE)+VLOOKUP(D444,[1]apoio_Preços_MGS!$A$6:$AN$238,40,FALSE),2)</f>
        <v>625.99</v>
      </c>
      <c r="AR444" s="45">
        <f t="shared" si="223"/>
        <v>1251.98</v>
      </c>
      <c r="AS444" s="45">
        <f t="shared" si="220"/>
        <v>1634.74</v>
      </c>
      <c r="AT444" s="45">
        <f t="shared" si="221"/>
        <v>98084.4</v>
      </c>
      <c r="AU444" s="62"/>
      <c r="AV444" s="46"/>
      <c r="AW444" s="47"/>
      <c r="AX444" s="48"/>
      <c r="AY444" s="49"/>
      <c r="BA444" s="48"/>
    </row>
    <row r="445" spans="1:53" ht="19.5" customHeight="1" x14ac:dyDescent="0.25">
      <c r="A445" s="33" t="str">
        <f t="shared" si="216"/>
        <v>63479440,03</v>
      </c>
      <c r="B445" s="33" t="str">
        <f t="shared" si="217"/>
        <v>1400,03</v>
      </c>
      <c r="C445" s="34" t="str">
        <f>VLOOKUP(D445,[1]apoio_Preços_MGS!$A$6:$B$238,2,FALSE)</f>
        <v>OPERADOR DE POÇOS ARTESIANOS</v>
      </c>
      <c r="D445" s="35">
        <v>140</v>
      </c>
      <c r="E445" s="33" t="str">
        <f>VLOOKUP(D445,[1]apoio_Preços_MGS!$A$6:$F$238,6,FALSE)</f>
        <v>OPERADOR DE POÇOS ARTESIANOS - 12x36 DIURNO - 44H</v>
      </c>
      <c r="F445" s="36">
        <f>IFERROR(VLOOKUP(D445,'[1]apoio_cód catmas'!$B$2:$C$863,2,FALSE),0)</f>
        <v>63479</v>
      </c>
      <c r="G445" s="33" t="str">
        <f>IF(H445="N/A",VLOOKUP(F445&amp;40,'[1]apoio_cód catmas'!$A$1:$G$233,4,FALSE),VLOOKUP(F445&amp;H445,'[1]apoio_cód catmas'!$A$1:$G$233,4,FALSE))</f>
        <v>OPERADOR DE POCOS ARTESIANOS - 12X36 DIURNO - 44H</v>
      </c>
      <c r="H445" s="36">
        <v>44</v>
      </c>
      <c r="I445" s="37">
        <v>0.03</v>
      </c>
      <c r="J445" s="38" t="s">
        <v>46</v>
      </c>
      <c r="K445" s="39">
        <f>4-2</f>
        <v>2</v>
      </c>
      <c r="L445" s="39">
        <f t="shared" si="238"/>
        <v>120</v>
      </c>
      <c r="M445" s="40">
        <f>VLOOKUP(D445,[1]apoio_Preços_MGS!$A$6:$AN$238,18,FALSE)</f>
        <v>2543.0065624999997</v>
      </c>
      <c r="N445" s="40">
        <f>VLOOKUP(D445,[1]apoio_Preços_MGS!$A$6:$AN$238,19,FALSE)</f>
        <v>0</v>
      </c>
      <c r="O445" s="40">
        <f>VLOOKUP(D445,[1]apoio_Preços_MGS!$A$6:$AN$238,20,FALSE)</f>
        <v>0</v>
      </c>
      <c r="P445" s="40">
        <f>VLOOKUP(D445,[1]apoio_Preços_MGS!$A$6:$AN$238,21,FALSE)</f>
        <v>0</v>
      </c>
      <c r="Q445" s="40">
        <f>VLOOKUP(D445,[1]apoio_Preços_MGS!$A$6:$AN$238,22,FALSE)</f>
        <v>0</v>
      </c>
      <c r="R445" s="40">
        <f>VLOOKUP(D445,[1]apoio_Preços_MGS!$A$6:$AN$238,23,FALSE)</f>
        <v>0</v>
      </c>
      <c r="S445" s="40">
        <f>VLOOKUP(D445,[1]apoio_Preços_MGS!$A$6:$AN$238,24,FALSE)</f>
        <v>0</v>
      </c>
      <c r="T445" s="40">
        <f>VLOOKUP(D445,[1]apoio_Preços_MGS!$A$6:$AN$238,25,FALSE)</f>
        <v>3.5319535590277771</v>
      </c>
      <c r="U445" s="40">
        <f t="shared" si="247"/>
        <v>2546.5385160590276</v>
      </c>
      <c r="V445" s="41">
        <f>VLOOKUP(D445,[1]apoio_Preços_MGS!$A$6:$AN$238,27,FALSE)</f>
        <v>0.81799999999999995</v>
      </c>
      <c r="W445" s="40">
        <f t="shared" si="248"/>
        <v>2083.0685061362847</v>
      </c>
      <c r="X445" s="40">
        <f>VLOOKUP(D445,[1]apoio_Preços_MGS!$A$6:$AN$238,29,FALSE)</f>
        <v>20.923636363636362</v>
      </c>
      <c r="Y445" s="40">
        <f>VLOOKUP(D445,[1]apoio_Preços_MGS!$A$6:$AN$238,30,FALSE)</f>
        <v>54.956363636363633</v>
      </c>
      <c r="Z445" s="40">
        <f t="shared" si="239"/>
        <v>75.88</v>
      </c>
      <c r="AA445" s="40">
        <f>VLOOKUP(D445,[1]apoio_Preços_MGS!$A$6:$AN$238,32,FALSE)</f>
        <v>4.8825725999999987</v>
      </c>
      <c r="AB445" s="40">
        <f>VLOOKUP(D445,[1]apoio_Preços_MGS!$A$6:$AN$238,33,FALSE)</f>
        <v>4.99999999995282E-4</v>
      </c>
      <c r="AC445" s="41">
        <f>VLOOKUP(D445,[1]apoio_Preços_MGS!$A$6:$AN$238,34,FALSE)</f>
        <v>0</v>
      </c>
      <c r="AD445" s="40">
        <f>(U445+W445+Z445+AB445+AA445+VLOOKUP(C445,[1]apoio_Prec_Folha!$A:$S,7,FALSE))*AC445</f>
        <v>0</v>
      </c>
      <c r="AE445" s="42">
        <f>VLOOKUP(D445,[1]apoio_Preços_MGS!$A$6:$AN$238,36,FALSE)</f>
        <v>7.0000000000000007E-2</v>
      </c>
      <c r="AF445" s="40">
        <f>(U445+W445+Z445+AB445+AD445+AA445+VLOOKUP(C445,[1]apoio_Prec_Folha!$A:$S,7,FALSE))*AE445</f>
        <v>368.33650663567187</v>
      </c>
      <c r="AG445" s="40">
        <f t="shared" si="240"/>
        <v>5078.7</v>
      </c>
      <c r="AH445" s="43">
        <f t="shared" si="241"/>
        <v>5787.68</v>
      </c>
      <c r="AI445" s="43">
        <f t="shared" si="242"/>
        <v>11575.36</v>
      </c>
      <c r="AJ445" s="43">
        <f t="shared" si="243"/>
        <v>694521.60000000009</v>
      </c>
      <c r="AK445" s="44">
        <f>VLOOKUP(D445,[1]apoio_Preços_MGS!$A$6:$AN$238,39,FALSE)</f>
        <v>200.00000000000003</v>
      </c>
      <c r="AL445" s="44">
        <f>IF(J445="demais municípios",VLOOKUP(D445,[1]apoio_Preços_MGS!$A$6:$AN$238,39,FALSE),0)</f>
        <v>200.00000000000003</v>
      </c>
      <c r="AM445" s="44">
        <v>0</v>
      </c>
      <c r="AN445" s="45">
        <f t="shared" ref="AN445:AN448" si="249">AK445*K445</f>
        <v>400.00000000000006</v>
      </c>
      <c r="AO445" s="44">
        <f>VLOOKUP(D445,[1]apoio_Preços_MGS!$A$6:$AN$238,40,FALSE)</f>
        <v>551.58000000000004</v>
      </c>
      <c r="AP445" s="44">
        <f>IF(J445="demais municípios",VLOOKUP(D445,[1]apoio_Preços_MGS!$A$6:$AN$238,40,FALSE),0)</f>
        <v>551.58000000000004</v>
      </c>
      <c r="AQ445" s="44">
        <v>0</v>
      </c>
      <c r="AR445" s="45">
        <f t="shared" ref="AR445:AR448" si="250">AO445*K445</f>
        <v>1103.1600000000001</v>
      </c>
      <c r="AS445" s="45">
        <f t="shared" si="220"/>
        <v>1503.16</v>
      </c>
      <c r="AT445" s="45">
        <f t="shared" si="221"/>
        <v>90189.6</v>
      </c>
      <c r="AU445" s="62"/>
      <c r="AV445" s="46"/>
      <c r="AW445" s="47"/>
      <c r="AX445" s="48"/>
      <c r="AY445" s="49"/>
      <c r="BA445" s="48"/>
    </row>
    <row r="446" spans="1:53" ht="19.5" customHeight="1" x14ac:dyDescent="0.25">
      <c r="A446" s="33" t="str">
        <f t="shared" si="216"/>
        <v>63479440,05</v>
      </c>
      <c r="B446" s="33" t="str">
        <f t="shared" si="217"/>
        <v>1400,05</v>
      </c>
      <c r="C446" s="34" t="str">
        <f>VLOOKUP(D446,[1]apoio_Preços_MGS!$A$6:$B$238,2,FALSE)</f>
        <v>OPERADOR DE POÇOS ARTESIANOS</v>
      </c>
      <c r="D446" s="35">
        <v>140</v>
      </c>
      <c r="E446" s="33" t="str">
        <f>VLOOKUP(D446,[1]apoio_Preços_MGS!$A$6:$F$238,6,FALSE)</f>
        <v>OPERADOR DE POÇOS ARTESIANOS - 12x36 DIURNO - 44H</v>
      </c>
      <c r="F446" s="36">
        <f>IFERROR(VLOOKUP(D446,'[1]apoio_cód catmas'!$B$2:$C$863,2,FALSE),0)</f>
        <v>63479</v>
      </c>
      <c r="G446" s="33" t="str">
        <f>IF(H446="N/A",VLOOKUP(F446&amp;40,'[1]apoio_cód catmas'!$A$1:$G$233,4,FALSE),VLOOKUP(F446&amp;H446,'[1]apoio_cód catmas'!$A$1:$G$233,4,FALSE))</f>
        <v>OPERADOR DE POCOS ARTESIANOS - 12X36 DIURNO - 44H</v>
      </c>
      <c r="H446" s="36">
        <v>44</v>
      </c>
      <c r="I446" s="37">
        <v>0.05</v>
      </c>
      <c r="J446" s="38" t="s">
        <v>46</v>
      </c>
      <c r="K446" s="39">
        <v>2</v>
      </c>
      <c r="L446" s="39">
        <f>K446*56</f>
        <v>112</v>
      </c>
      <c r="M446" s="40">
        <f>VLOOKUP(D446,[1]apoio_Preços_MGS!$A$6:$AN$238,18,FALSE)</f>
        <v>2543.0065624999997</v>
      </c>
      <c r="N446" s="40">
        <f>VLOOKUP(D446,[1]apoio_Preços_MGS!$A$6:$AN$238,19,FALSE)</f>
        <v>0</v>
      </c>
      <c r="O446" s="40">
        <f>VLOOKUP(D446,[1]apoio_Preços_MGS!$A$6:$AN$238,20,FALSE)</f>
        <v>0</v>
      </c>
      <c r="P446" s="40">
        <f>VLOOKUP(D446,[1]apoio_Preços_MGS!$A$6:$AN$238,21,FALSE)</f>
        <v>0</v>
      </c>
      <c r="Q446" s="40">
        <f>VLOOKUP(D446,[1]apoio_Preços_MGS!$A$6:$AN$238,22,FALSE)</f>
        <v>0</v>
      </c>
      <c r="R446" s="40">
        <f>VLOOKUP(D446,[1]apoio_Preços_MGS!$A$6:$AN$238,23,FALSE)</f>
        <v>0</v>
      </c>
      <c r="S446" s="40">
        <f>VLOOKUP(D446,[1]apoio_Preços_MGS!$A$6:$AN$238,24,FALSE)</f>
        <v>0</v>
      </c>
      <c r="T446" s="40">
        <f>VLOOKUP(D446,[1]apoio_Preços_MGS!$A$6:$AN$238,25,FALSE)</f>
        <v>3.5319535590277771</v>
      </c>
      <c r="U446" s="40">
        <f t="shared" si="247"/>
        <v>2546.5385160590276</v>
      </c>
      <c r="V446" s="41">
        <f>VLOOKUP(D446,[1]apoio_Preços_MGS!$A$6:$AN$238,27,FALSE)</f>
        <v>0.81799999999999995</v>
      </c>
      <c r="W446" s="40">
        <f t="shared" si="248"/>
        <v>2083.0685061362847</v>
      </c>
      <c r="X446" s="40">
        <f>VLOOKUP(D446,[1]apoio_Preços_MGS!$A$6:$AN$238,29,FALSE)</f>
        <v>20.923636363636362</v>
      </c>
      <c r="Y446" s="40">
        <f>VLOOKUP(D446,[1]apoio_Preços_MGS!$A$6:$AN$238,30,FALSE)</f>
        <v>54.956363636363633</v>
      </c>
      <c r="Z446" s="40">
        <f t="shared" si="239"/>
        <v>75.88</v>
      </c>
      <c r="AA446" s="40">
        <f>VLOOKUP(D446,[1]apoio_Preços_MGS!$A$6:$AN$238,32,FALSE)</f>
        <v>4.8825725999999987</v>
      </c>
      <c r="AB446" s="40">
        <f>VLOOKUP(D446,[1]apoio_Preços_MGS!$A$6:$AN$238,33,FALSE)</f>
        <v>4.99999999995282E-4</v>
      </c>
      <c r="AC446" s="41">
        <f>VLOOKUP(D446,[1]apoio_Preços_MGS!$A$6:$AN$238,34,FALSE)</f>
        <v>0</v>
      </c>
      <c r="AD446" s="40">
        <f>(U446+W446+Z446+AB446+AA446+VLOOKUP(C446,[1]apoio_Prec_Folha!$A:$S,7,FALSE))*AC446</f>
        <v>0</v>
      </c>
      <c r="AE446" s="42">
        <f>VLOOKUP(D446,[1]apoio_Preços_MGS!$A$6:$AN$238,36,FALSE)</f>
        <v>7.0000000000000007E-2</v>
      </c>
      <c r="AF446" s="40">
        <f>(U446+W446+Z446+AB446+AD446+AA446+VLOOKUP(C446,[1]apoio_Prec_Folha!$A:$S,7,FALSE))*AE446</f>
        <v>368.33650663567187</v>
      </c>
      <c r="AG446" s="40">
        <f t="shared" si="240"/>
        <v>5078.7</v>
      </c>
      <c r="AH446" s="43">
        <f t="shared" si="241"/>
        <v>5922.67</v>
      </c>
      <c r="AI446" s="43">
        <f t="shared" si="242"/>
        <v>11845.34</v>
      </c>
      <c r="AJ446" s="43">
        <f t="shared" si="243"/>
        <v>663339.04</v>
      </c>
      <c r="AK446" s="44">
        <f>VLOOKUP(D446,[1]apoio_Preços_MGS!$A$6:$AN$238,39,FALSE)</f>
        <v>200.00000000000003</v>
      </c>
      <c r="AL446" s="44">
        <f>IF(J446="demais municípios",VLOOKUP(D446,[1]apoio_Preços_MGS!$A$6:$AN$238,39,FALSE),0)</f>
        <v>200.00000000000003</v>
      </c>
      <c r="AM446" s="44">
        <v>0</v>
      </c>
      <c r="AN446" s="45">
        <f t="shared" si="249"/>
        <v>400.00000000000006</v>
      </c>
      <c r="AO446" s="44">
        <f>VLOOKUP(D446,[1]apoio_Preços_MGS!$A$6:$AN$238,40,FALSE)</f>
        <v>551.58000000000004</v>
      </c>
      <c r="AP446" s="44">
        <f>IF(J446="demais municípios",VLOOKUP(D446,[1]apoio_Preços_MGS!$A$6:$AN$238,40,FALSE),0)</f>
        <v>551.58000000000004</v>
      </c>
      <c r="AQ446" s="44">
        <v>0</v>
      </c>
      <c r="AR446" s="45">
        <f t="shared" si="250"/>
        <v>1103.1600000000001</v>
      </c>
      <c r="AS446" s="45">
        <f t="shared" si="220"/>
        <v>1503.16</v>
      </c>
      <c r="AT446" s="45">
        <f t="shared" si="221"/>
        <v>90189.6</v>
      </c>
      <c r="AU446" s="62"/>
      <c r="AV446" s="46"/>
      <c r="AW446" s="47"/>
      <c r="AX446" s="48"/>
      <c r="AY446" s="49"/>
      <c r="BA446" s="48"/>
    </row>
    <row r="447" spans="1:53" ht="19.5" customHeight="1" x14ac:dyDescent="0.25">
      <c r="A447" s="33" t="str">
        <f t="shared" si="216"/>
        <v>63924440,03</v>
      </c>
      <c r="B447" s="33" t="str">
        <f t="shared" si="217"/>
        <v>1410,03</v>
      </c>
      <c r="C447" s="34" t="str">
        <f>VLOOKUP(D447,[1]apoio_Preços_MGS!$A$6:$B$238,2,FALSE)</f>
        <v>OPERADOR DE POÇOS ARTESIANOS</v>
      </c>
      <c r="D447" s="35">
        <v>141</v>
      </c>
      <c r="E447" s="33" t="str">
        <f>VLOOKUP(D447,[1]apoio_Preços_MGS!$A$6:$F$238,6,FALSE)</f>
        <v>OPERADOR DE POÇOS ARTESIANOS - 12x36 NOTURNO - 44H</v>
      </c>
      <c r="F447" s="36">
        <f>IFERROR(VLOOKUP(D447,'[1]apoio_cód catmas'!$B$2:$C$863,2,FALSE),0)</f>
        <v>63924</v>
      </c>
      <c r="G447" s="33" t="str">
        <f>IF(H447="N/A",VLOOKUP(F447&amp;40,'[1]apoio_cód catmas'!$A$1:$G$233,4,FALSE),VLOOKUP(F447&amp;H447,'[1]apoio_cód catmas'!$A$1:$G$233,4,FALSE))</f>
        <v>OPERADOR DE POCOS ARTESIANOS - 12X36 NOTURNO - 44H</v>
      </c>
      <c r="H447" s="36">
        <v>44</v>
      </c>
      <c r="I447" s="37">
        <v>0.03</v>
      </c>
      <c r="J447" s="38" t="s">
        <v>46</v>
      </c>
      <c r="K447" s="39">
        <f>4-2</f>
        <v>2</v>
      </c>
      <c r="L447" s="39">
        <f t="shared" si="238"/>
        <v>120</v>
      </c>
      <c r="M447" s="40">
        <f>VLOOKUP(D447,[1]apoio_Preços_MGS!$A$6:$AN$238,18,FALSE)</f>
        <v>2543.0065624999997</v>
      </c>
      <c r="N447" s="40">
        <f>VLOOKUP(D447,[1]apoio_Preços_MGS!$A$6:$AN$238,19,FALSE)</f>
        <v>0</v>
      </c>
      <c r="O447" s="40">
        <f>VLOOKUP(D447,[1]apoio_Preços_MGS!$A$6:$AN$238,20,FALSE)</f>
        <v>592.41743069644292</v>
      </c>
      <c r="P447" s="40">
        <f>VLOOKUP(D447,[1]apoio_Preços_MGS!$A$6:$AN$238,21,FALSE)</f>
        <v>12.931562985534567</v>
      </c>
      <c r="Q447" s="40">
        <f>VLOOKUP(D447,[1]apoio_Preços_MGS!$A$6:$AN$238,22,FALSE)</f>
        <v>48.493346647746279</v>
      </c>
      <c r="R447" s="40">
        <f>VLOOKUP(D447,[1]apoio_Preços_MGS!$A$6:$AN$238,23,FALSE)</f>
        <v>0</v>
      </c>
      <c r="S447" s="40">
        <f>VLOOKUP(D447,[1]apoio_Preços_MGS!$A$6:$AN$238,24,FALSE)</f>
        <v>0</v>
      </c>
      <c r="T447" s="40">
        <f>VLOOKUP(D447,[1]apoio_Preços_MGS!$A$6:$AN$238,25,FALSE)</f>
        <v>3.5319535590277771</v>
      </c>
      <c r="U447" s="40">
        <f t="shared" si="247"/>
        <v>3200.3808563887515</v>
      </c>
      <c r="V447" s="41">
        <f>VLOOKUP(D447,[1]apoio_Preços_MGS!$A$6:$AN$238,27,FALSE)</f>
        <v>0.81799999999999995</v>
      </c>
      <c r="W447" s="40">
        <f t="shared" si="248"/>
        <v>2617.9115405259986</v>
      </c>
      <c r="X447" s="40">
        <f>VLOOKUP(D447,[1]apoio_Preços_MGS!$A$6:$AN$238,29,FALSE)</f>
        <v>20.923636363636362</v>
      </c>
      <c r="Y447" s="40">
        <f>VLOOKUP(D447,[1]apoio_Preços_MGS!$A$6:$AN$238,30,FALSE)</f>
        <v>54.956363636363633</v>
      </c>
      <c r="Z447" s="40">
        <f t="shared" si="239"/>
        <v>75.88</v>
      </c>
      <c r="AA447" s="40">
        <f>VLOOKUP(D447,[1]apoio_Preços_MGS!$A$6:$AN$238,32,FALSE)</f>
        <v>4.8825725999999987</v>
      </c>
      <c r="AB447" s="40">
        <f>VLOOKUP(D447,[1]apoio_Preços_MGS!$A$6:$AN$238,33,FALSE)</f>
        <v>4.99999999995282E-4</v>
      </c>
      <c r="AC447" s="41">
        <f>VLOOKUP(D447,[1]apoio_Preços_MGS!$A$6:$AN$238,34,FALSE)</f>
        <v>0</v>
      </c>
      <c r="AD447" s="40">
        <f>(U447+W447+Z447+AB447+AA447+VLOOKUP(C447,[1]apoio_Prec_Folha!$A:$S,7,FALSE))*AC447</f>
        <v>0</v>
      </c>
      <c r="AE447" s="42">
        <f>VLOOKUP(D447,[1]apoio_Preços_MGS!$A$6:$AN$238,36,FALSE)</f>
        <v>7.0000000000000007E-2</v>
      </c>
      <c r="AF447" s="40">
        <f>(U447+W447+Z447+AB447+AD447+AA447+VLOOKUP(C447,[1]apoio_Prec_Folha!$A:$S,7,FALSE))*AE447</f>
        <v>451.54448286603258</v>
      </c>
      <c r="AG447" s="40">
        <f t="shared" si="240"/>
        <v>6350.59</v>
      </c>
      <c r="AH447" s="43">
        <f t="shared" si="241"/>
        <v>7237.13</v>
      </c>
      <c r="AI447" s="43">
        <f t="shared" si="242"/>
        <v>14474.26</v>
      </c>
      <c r="AJ447" s="43">
        <f t="shared" si="243"/>
        <v>868455.6</v>
      </c>
      <c r="AK447" s="44">
        <f>VLOOKUP(D447,[1]apoio_Preços_MGS!$A$6:$AN$238,39,FALSE)</f>
        <v>200.00000000000003</v>
      </c>
      <c r="AL447" s="44">
        <f>IF(J447="demais municípios",VLOOKUP(D447,[1]apoio_Preços_MGS!$A$6:$AN$238,39,FALSE),0)</f>
        <v>200.00000000000003</v>
      </c>
      <c r="AM447" s="44">
        <v>0</v>
      </c>
      <c r="AN447" s="45">
        <f t="shared" si="249"/>
        <v>400.00000000000006</v>
      </c>
      <c r="AO447" s="44">
        <f>VLOOKUP(D447,[1]apoio_Preços_MGS!$A$6:$AN$238,40,FALSE)</f>
        <v>551.58000000000004</v>
      </c>
      <c r="AP447" s="44">
        <f>IF(J447="demais municípios",VLOOKUP(D447,[1]apoio_Preços_MGS!$A$6:$AN$238,40,FALSE),0)</f>
        <v>551.58000000000004</v>
      </c>
      <c r="AQ447" s="44">
        <v>0</v>
      </c>
      <c r="AR447" s="45">
        <f t="shared" si="250"/>
        <v>1103.1600000000001</v>
      </c>
      <c r="AS447" s="45">
        <f t="shared" si="220"/>
        <v>1503.16</v>
      </c>
      <c r="AT447" s="45">
        <f t="shared" si="221"/>
        <v>90189.6</v>
      </c>
      <c r="AU447" s="62"/>
      <c r="AV447" s="46"/>
      <c r="AW447" s="47"/>
      <c r="AX447" s="48"/>
      <c r="AY447" s="49"/>
      <c r="BA447" s="48"/>
    </row>
    <row r="448" spans="1:53" ht="19.5" customHeight="1" x14ac:dyDescent="0.25">
      <c r="A448" s="33" t="str">
        <f t="shared" si="216"/>
        <v>63924440,05</v>
      </c>
      <c r="B448" s="33" t="str">
        <f t="shared" si="217"/>
        <v>1410,05</v>
      </c>
      <c r="C448" s="34" t="str">
        <f>VLOOKUP(D448,[1]apoio_Preços_MGS!$A$6:$B$238,2,FALSE)</f>
        <v>OPERADOR DE POÇOS ARTESIANOS</v>
      </c>
      <c r="D448" s="35">
        <v>141</v>
      </c>
      <c r="E448" s="33" t="str">
        <f>VLOOKUP(D448,[1]apoio_Preços_MGS!$A$6:$F$238,6,FALSE)</f>
        <v>OPERADOR DE POÇOS ARTESIANOS - 12x36 NOTURNO - 44H</v>
      </c>
      <c r="F448" s="36">
        <f>IFERROR(VLOOKUP(D448,'[1]apoio_cód catmas'!$B$2:$C$863,2,FALSE),0)</f>
        <v>63924</v>
      </c>
      <c r="G448" s="33" t="str">
        <f>IF(H448="N/A",VLOOKUP(F448&amp;40,'[1]apoio_cód catmas'!$A$1:$G$233,4,FALSE),VLOOKUP(F448&amp;H448,'[1]apoio_cód catmas'!$A$1:$G$233,4,FALSE))</f>
        <v>OPERADOR DE POCOS ARTESIANOS - 12X36 NOTURNO - 44H</v>
      </c>
      <c r="H448" s="36">
        <v>44</v>
      </c>
      <c r="I448" s="37">
        <v>0.05</v>
      </c>
      <c r="J448" s="38" t="s">
        <v>46</v>
      </c>
      <c r="K448" s="39">
        <v>2</v>
      </c>
      <c r="L448" s="39">
        <f>K448*56</f>
        <v>112</v>
      </c>
      <c r="M448" s="40">
        <f>VLOOKUP(D448,[1]apoio_Preços_MGS!$A$6:$AN$238,18,FALSE)</f>
        <v>2543.0065624999997</v>
      </c>
      <c r="N448" s="40">
        <f>VLOOKUP(D448,[1]apoio_Preços_MGS!$A$6:$AN$238,19,FALSE)</f>
        <v>0</v>
      </c>
      <c r="O448" s="40">
        <f>VLOOKUP(D448,[1]apoio_Preços_MGS!$A$6:$AN$238,20,FALSE)</f>
        <v>592.41743069644292</v>
      </c>
      <c r="P448" s="40">
        <f>VLOOKUP(D448,[1]apoio_Preços_MGS!$A$6:$AN$238,21,FALSE)</f>
        <v>12.931562985534567</v>
      </c>
      <c r="Q448" s="40">
        <f>VLOOKUP(D448,[1]apoio_Preços_MGS!$A$6:$AN$238,22,FALSE)</f>
        <v>48.493346647746279</v>
      </c>
      <c r="R448" s="40">
        <f>VLOOKUP(D448,[1]apoio_Preços_MGS!$A$6:$AN$238,23,FALSE)</f>
        <v>0</v>
      </c>
      <c r="S448" s="40">
        <f>VLOOKUP(D448,[1]apoio_Preços_MGS!$A$6:$AN$238,24,FALSE)</f>
        <v>0</v>
      </c>
      <c r="T448" s="40">
        <f>VLOOKUP(D448,[1]apoio_Preços_MGS!$A$6:$AN$238,25,FALSE)</f>
        <v>3.5319535590277771</v>
      </c>
      <c r="U448" s="40">
        <f t="shared" si="247"/>
        <v>3200.3808563887515</v>
      </c>
      <c r="V448" s="41">
        <f>VLOOKUP(D448,[1]apoio_Preços_MGS!$A$6:$AN$238,27,FALSE)</f>
        <v>0.81799999999999995</v>
      </c>
      <c r="W448" s="40">
        <f t="shared" si="248"/>
        <v>2617.9115405259986</v>
      </c>
      <c r="X448" s="40">
        <f>VLOOKUP(D448,[1]apoio_Preços_MGS!$A$6:$AN$238,29,FALSE)</f>
        <v>20.923636363636362</v>
      </c>
      <c r="Y448" s="40">
        <f>VLOOKUP(D448,[1]apoio_Preços_MGS!$A$6:$AN$238,30,FALSE)</f>
        <v>54.956363636363633</v>
      </c>
      <c r="Z448" s="40">
        <f t="shared" si="239"/>
        <v>75.88</v>
      </c>
      <c r="AA448" s="40">
        <f>VLOOKUP(D448,[1]apoio_Preços_MGS!$A$6:$AN$238,32,FALSE)</f>
        <v>4.8825725999999987</v>
      </c>
      <c r="AB448" s="40">
        <f>VLOOKUP(D448,[1]apoio_Preços_MGS!$A$6:$AN$238,33,FALSE)</f>
        <v>4.99999999995282E-4</v>
      </c>
      <c r="AC448" s="41">
        <f>VLOOKUP(D448,[1]apoio_Preços_MGS!$A$6:$AN$238,34,FALSE)</f>
        <v>0</v>
      </c>
      <c r="AD448" s="40">
        <f>(U448+W448+Z448+AB448+AA448+VLOOKUP(C448,[1]apoio_Prec_Folha!$A:$S,7,FALSE))*AC448</f>
        <v>0</v>
      </c>
      <c r="AE448" s="42">
        <f>VLOOKUP(D448,[1]apoio_Preços_MGS!$A$6:$AN$238,36,FALSE)</f>
        <v>7.0000000000000007E-2</v>
      </c>
      <c r="AF448" s="40">
        <f>(U448+W448+Z448+AB448+AD448+AA448+VLOOKUP(C448,[1]apoio_Prec_Folha!$A:$S,7,FALSE))*AE448</f>
        <v>451.54448286603258</v>
      </c>
      <c r="AG448" s="40">
        <f t="shared" si="240"/>
        <v>6350.59</v>
      </c>
      <c r="AH448" s="43">
        <f t="shared" si="241"/>
        <v>7405.93</v>
      </c>
      <c r="AI448" s="43">
        <f t="shared" si="242"/>
        <v>14811.86</v>
      </c>
      <c r="AJ448" s="43">
        <f t="shared" si="243"/>
        <v>829464.16</v>
      </c>
      <c r="AK448" s="44">
        <f>VLOOKUP(D448,[1]apoio_Preços_MGS!$A$6:$AN$238,39,FALSE)</f>
        <v>200.00000000000003</v>
      </c>
      <c r="AL448" s="44">
        <f>IF(J448="demais municípios",VLOOKUP(D448,[1]apoio_Preços_MGS!$A$6:$AN$238,39,FALSE),0)</f>
        <v>200.00000000000003</v>
      </c>
      <c r="AM448" s="44">
        <v>0</v>
      </c>
      <c r="AN448" s="45">
        <f t="shared" si="249"/>
        <v>400.00000000000006</v>
      </c>
      <c r="AO448" s="44">
        <f>VLOOKUP(D448,[1]apoio_Preços_MGS!$A$6:$AN$238,40,FALSE)</f>
        <v>551.58000000000004</v>
      </c>
      <c r="AP448" s="44">
        <f>IF(J448="demais municípios",VLOOKUP(D448,[1]apoio_Preços_MGS!$A$6:$AN$238,40,FALSE),0)</f>
        <v>551.58000000000004</v>
      </c>
      <c r="AQ448" s="44">
        <v>0</v>
      </c>
      <c r="AR448" s="45">
        <f t="shared" si="250"/>
        <v>1103.1600000000001</v>
      </c>
      <c r="AS448" s="45">
        <f t="shared" si="220"/>
        <v>1503.16</v>
      </c>
      <c r="AT448" s="45">
        <f t="shared" si="221"/>
        <v>90189.6</v>
      </c>
      <c r="AU448" s="62"/>
      <c r="AV448" s="46"/>
      <c r="AW448" s="47"/>
      <c r="AX448" s="48"/>
      <c r="AY448" s="49"/>
      <c r="BA448" s="48"/>
    </row>
    <row r="449" spans="1:53" ht="19.5" customHeight="1" x14ac:dyDescent="0.25">
      <c r="A449" s="33" t="str">
        <f t="shared" si="216"/>
        <v>63673400,05</v>
      </c>
      <c r="B449" s="33" t="str">
        <f t="shared" si="217"/>
        <v>4070,05</v>
      </c>
      <c r="C449" s="34" t="str">
        <f>VLOOKUP(D449,[1]apoio_Preços_MGS!$A$6:$B$238,2,FALSE)</f>
        <v>OPERADOR DE SOM E IMAGEM</v>
      </c>
      <c r="D449" s="35">
        <v>407</v>
      </c>
      <c r="E449" s="33" t="str">
        <f>VLOOKUP(D449,[1]apoio_Preços_MGS!$A$6:$F$238,6,FALSE)</f>
        <v>OPERADOR DE SOM E IMAGEM - DIARISTA DIURNO - 40H</v>
      </c>
      <c r="F449" s="36">
        <f>IFERROR(VLOOKUP(D449,'[1]apoio_cód catmas'!$B$2:$C$863,2,FALSE),0)</f>
        <v>63673</v>
      </c>
      <c r="G449" s="33" t="str">
        <f>IF(H449="N/A",VLOOKUP(F449&amp;40,'[1]apoio_cód catmas'!$A$1:$G$233,4,FALSE),VLOOKUP(F449&amp;H449,'[1]apoio_cód catmas'!$A$1:$G$233,4,FALSE))</f>
        <v>OPERADOR DE SOM E IMAGEM - 40H OU 44H</v>
      </c>
      <c r="H449" s="36">
        <v>40</v>
      </c>
      <c r="I449" s="37">
        <v>0.05</v>
      </c>
      <c r="J449" s="38" t="s">
        <v>47</v>
      </c>
      <c r="K449" s="39">
        <v>2</v>
      </c>
      <c r="L449" s="39">
        <f t="shared" si="238"/>
        <v>120</v>
      </c>
      <c r="M449" s="40">
        <f>VLOOKUP(D449,[1]apoio_Preços_MGS!$A$6:$AN$238,18,FALSE)</f>
        <v>2418.9415454545456</v>
      </c>
      <c r="N449" s="40">
        <f>VLOOKUP(D449,[1]apoio_Preços_MGS!$A$6:$AN$238,19,FALSE)</f>
        <v>0</v>
      </c>
      <c r="O449" s="40">
        <f>VLOOKUP(D449,[1]apoio_Preços_MGS!$A$6:$AN$238,20,FALSE)</f>
        <v>0</v>
      </c>
      <c r="P449" s="40">
        <f>VLOOKUP(D449,[1]apoio_Preços_MGS!$A$6:$AN$238,21,FALSE)</f>
        <v>0</v>
      </c>
      <c r="Q449" s="40">
        <f>VLOOKUP(D449,[1]apoio_Preços_MGS!$A$6:$AN$238,22,FALSE)</f>
        <v>0</v>
      </c>
      <c r="R449" s="40">
        <f>VLOOKUP(D449,[1]apoio_Preços_MGS!$A$6:$AN$238,23,FALSE)</f>
        <v>0</v>
      </c>
      <c r="S449" s="40">
        <f>VLOOKUP(D449,[1]apoio_Preços_MGS!$A$6:$AN$238,24,FALSE)</f>
        <v>0</v>
      </c>
      <c r="T449" s="40">
        <f>VLOOKUP(D449,[1]apoio_Preços_MGS!$A$6:$AN$238,25,FALSE)</f>
        <v>0</v>
      </c>
      <c r="U449" s="40">
        <f t="shared" si="247"/>
        <v>2418.9415454545456</v>
      </c>
      <c r="V449" s="41">
        <f>VLOOKUP(D449,[1]apoio_Preços_MGS!$A$6:$AN$238,27,FALSE)</f>
        <v>0.81799999999999995</v>
      </c>
      <c r="W449" s="40">
        <f t="shared" si="248"/>
        <v>1978.6941841818182</v>
      </c>
      <c r="X449" s="40">
        <f>VLOOKUP(D449,[1]apoio_Preços_MGS!$A$6:$AN$238,29,FALSE)</f>
        <v>20.923636363636362</v>
      </c>
      <c r="Y449" s="40">
        <f>VLOOKUP(D449,[1]apoio_Preços_MGS!$A$6:$AN$238,30,FALSE)</f>
        <v>11.026363636363635</v>
      </c>
      <c r="Z449" s="40">
        <f t="shared" si="239"/>
        <v>31.949999999999996</v>
      </c>
      <c r="AA449" s="40">
        <f>VLOOKUP(D449,[1]apoio_Preços_MGS!$A$6:$AN$238,32,FALSE)</f>
        <v>4.644367767272727</v>
      </c>
      <c r="AB449" s="40">
        <f>VLOOKUP(D449,[1]apoio_Preços_MGS!$A$6:$AN$238,33,FALSE)</f>
        <v>162.73909090909092</v>
      </c>
      <c r="AC449" s="41">
        <f>VLOOKUP(D449,[1]apoio_Preços_MGS!$A$6:$AN$238,34,FALSE)</f>
        <v>0</v>
      </c>
      <c r="AD449" s="40">
        <f>(U449+W449+Z449+AB449+AA449+VLOOKUP(C449,[1]apoio_Prec_Folha!$A:$S,7,FALSE))*AC449</f>
        <v>0</v>
      </c>
      <c r="AE449" s="42">
        <f>VLOOKUP(D449,[1]apoio_Preços_MGS!$A$6:$AN$238,36,FALSE)</f>
        <v>7.0000000000000007E-2</v>
      </c>
      <c r="AF449" s="40">
        <f>(U449+W449+Z449+AB449+AD449+AA449+VLOOKUP(C449,[1]apoio_Prec_Folha!$A:$S,7,FALSE))*AE449</f>
        <v>360.39844318189091</v>
      </c>
      <c r="AG449" s="40">
        <f t="shared" si="240"/>
        <v>4957.3599999999997</v>
      </c>
      <c r="AH449" s="43">
        <f t="shared" si="241"/>
        <v>5781.17</v>
      </c>
      <c r="AI449" s="43">
        <f t="shared" si="242"/>
        <v>11562.34</v>
      </c>
      <c r="AJ449" s="43">
        <f t="shared" si="243"/>
        <v>693740.4</v>
      </c>
      <c r="AK449" s="44">
        <f>VLOOKUP(D449,[1]apoio_Preços_MGS!$A$6:$AN$238,39,FALSE)</f>
        <v>181.81818181818184</v>
      </c>
      <c r="AL449" s="44">
        <f>IF(J449="demais municípios",VLOOKUP(D449,[1]apoio_Preços_MGS!$A$6:$AN$238,39,FALSE),0)</f>
        <v>0</v>
      </c>
      <c r="AM449" s="44">
        <f>TRUNC(ROUND(($I449)/(1-($I449)),5)*VLOOKUP(D449,[1]apoio_Preços_MGS!$A$6:$AN$238,39,FALSE)+VLOOKUP(D449,[1]apoio_Preços_MGS!$A$6:$AN$238,39,FALSE),2)</f>
        <v>191.38</v>
      </c>
      <c r="AN449" s="45">
        <f t="shared" si="222"/>
        <v>382.76</v>
      </c>
      <c r="AO449" s="44">
        <f>VLOOKUP(D449,[1]apoio_Preços_MGS!$A$6:$AN$238,40,FALSE)</f>
        <v>551.58000000000004</v>
      </c>
      <c r="AP449" s="44">
        <f>IF(J449="demais municípios",VLOOKUP(D449,[1]apoio_Preços_MGS!$A$6:$AN$238,40,FALSE),0)</f>
        <v>0</v>
      </c>
      <c r="AQ449" s="44">
        <f>TRUNC(ROUND(($I449)/(1-($I449)),5)*VLOOKUP(D449,[1]apoio_Preços_MGS!$A$6:$AN$238,40,FALSE)+VLOOKUP(D449,[1]apoio_Preços_MGS!$A$6:$AN$238,40,FALSE),2)</f>
        <v>580.6</v>
      </c>
      <c r="AR449" s="45">
        <f t="shared" si="223"/>
        <v>1161.2</v>
      </c>
      <c r="AS449" s="45">
        <f t="shared" si="220"/>
        <v>1543.96</v>
      </c>
      <c r="AT449" s="45">
        <f t="shared" si="221"/>
        <v>92637.6</v>
      </c>
      <c r="AU449" s="62"/>
      <c r="AV449" s="46"/>
      <c r="AW449" s="47"/>
      <c r="AX449" s="48"/>
      <c r="AY449" s="49"/>
      <c r="BA449" s="48"/>
    </row>
    <row r="450" spans="1:53" ht="19.5" customHeight="1" x14ac:dyDescent="0.25">
      <c r="A450" s="33" t="str">
        <f t="shared" si="216"/>
        <v>63673440,03</v>
      </c>
      <c r="B450" s="33" t="str">
        <f t="shared" si="217"/>
        <v>2490,03</v>
      </c>
      <c r="C450" s="34" t="str">
        <f>VLOOKUP(D450,[1]apoio_Preços_MGS!$A$6:$B$238,2,FALSE)</f>
        <v>OPERADOR DE SOM E IMAGEM</v>
      </c>
      <c r="D450" s="35">
        <v>249</v>
      </c>
      <c r="E450" s="33" t="str">
        <f>VLOOKUP(D450,[1]apoio_Preços_MGS!$A$6:$F$238,6,FALSE)</f>
        <v>OPERADOR DE SOM E IMAGEM - DIARISTA DIURNO - 44H</v>
      </c>
      <c r="F450" s="36">
        <f>IFERROR(VLOOKUP(D450,'[1]apoio_cód catmas'!$B$2:$C$863,2,FALSE),0)</f>
        <v>63673</v>
      </c>
      <c r="G450" s="33" t="str">
        <f>IF(H450="N/A",VLOOKUP(F450&amp;40,'[1]apoio_cód catmas'!$A$1:$G$233,4,FALSE),VLOOKUP(F450&amp;H450,'[1]apoio_cód catmas'!$A$1:$G$233,4,FALSE))</f>
        <v>OPERADOR DE SOM E IMAGEM - 40H OU 44H</v>
      </c>
      <c r="H450" s="36">
        <v>44</v>
      </c>
      <c r="I450" s="37">
        <v>0.03</v>
      </c>
      <c r="J450" s="38" t="s">
        <v>46</v>
      </c>
      <c r="K450" s="39">
        <v>4</v>
      </c>
      <c r="L450" s="39">
        <f t="shared" si="238"/>
        <v>240</v>
      </c>
      <c r="M450" s="40">
        <f>VLOOKUP(D450,[1]apoio_Preços_MGS!$A$6:$AN$238,18,FALSE)</f>
        <v>2660.8357000000001</v>
      </c>
      <c r="N450" s="40">
        <f>VLOOKUP(D450,[1]apoio_Preços_MGS!$A$6:$AN$238,19,FALSE)</f>
        <v>0</v>
      </c>
      <c r="O450" s="40">
        <f>VLOOKUP(D450,[1]apoio_Preços_MGS!$A$6:$AN$238,20,FALSE)</f>
        <v>0</v>
      </c>
      <c r="P450" s="40">
        <f>VLOOKUP(D450,[1]apoio_Preços_MGS!$A$6:$AN$238,21,FALSE)</f>
        <v>0</v>
      </c>
      <c r="Q450" s="40">
        <f>VLOOKUP(D450,[1]apoio_Preços_MGS!$A$6:$AN$238,22,FALSE)</f>
        <v>0</v>
      </c>
      <c r="R450" s="40">
        <f>VLOOKUP(D450,[1]apoio_Preços_MGS!$A$6:$AN$238,23,FALSE)</f>
        <v>0</v>
      </c>
      <c r="S450" s="40">
        <f>VLOOKUP(D450,[1]apoio_Preços_MGS!$A$6:$AN$238,24,FALSE)</f>
        <v>0</v>
      </c>
      <c r="T450" s="40">
        <f>VLOOKUP(D450,[1]apoio_Preços_MGS!$A$6:$AN$238,25,FALSE)</f>
        <v>0</v>
      </c>
      <c r="U450" s="40">
        <f t="shared" si="247"/>
        <v>2660.8357000000001</v>
      </c>
      <c r="V450" s="41">
        <f>VLOOKUP(D450,[1]apoio_Preços_MGS!$A$6:$AN$238,27,FALSE)</f>
        <v>0.81799999999999995</v>
      </c>
      <c r="W450" s="40">
        <f t="shared" si="248"/>
        <v>2176.5636025999997</v>
      </c>
      <c r="X450" s="40">
        <f>VLOOKUP(D450,[1]apoio_Preços_MGS!$A$6:$AN$238,29,FALSE)</f>
        <v>20.923636363636362</v>
      </c>
      <c r="Y450" s="40">
        <f>VLOOKUP(D450,[1]apoio_Preços_MGS!$A$6:$AN$238,30,FALSE)</f>
        <v>11.026363636363635</v>
      </c>
      <c r="Z450" s="40">
        <f t="shared" si="239"/>
        <v>31.949999999999996</v>
      </c>
      <c r="AA450" s="40">
        <f>VLOOKUP(D450,[1]apoio_Preços_MGS!$A$6:$AN$238,32,FALSE)</f>
        <v>5.1088045439999998</v>
      </c>
      <c r="AB450" s="40">
        <f>VLOOKUP(D450,[1]apoio_Preços_MGS!$A$6:$AN$238,33,FALSE)</f>
        <v>153.73500000000001</v>
      </c>
      <c r="AC450" s="41">
        <f>VLOOKUP(D450,[1]apoio_Preços_MGS!$A$6:$AN$238,34,FALSE)</f>
        <v>0</v>
      </c>
      <c r="AD450" s="40">
        <f>(U450+W450+Z450+AB450+AA450+VLOOKUP(C450,[1]apoio_Prec_Folha!$A:$S,7,FALSE))*AC450</f>
        <v>0</v>
      </c>
      <c r="AE450" s="42">
        <f>VLOOKUP(D450,[1]apoio_Preços_MGS!$A$6:$AN$238,36,FALSE)</f>
        <v>7.0000000000000007E-2</v>
      </c>
      <c r="AF450" s="40">
        <f>(U450+W450+Z450+AB450+AD450+AA450+VLOOKUP(C450,[1]apoio_Prec_Folha!$A:$S,7,FALSE))*AE450</f>
        <v>390.58411750007997</v>
      </c>
      <c r="AG450" s="40">
        <f t="shared" si="240"/>
        <v>5418.77</v>
      </c>
      <c r="AH450" s="43">
        <f t="shared" si="241"/>
        <v>6175.23</v>
      </c>
      <c r="AI450" s="43">
        <f t="shared" si="242"/>
        <v>24700.92</v>
      </c>
      <c r="AJ450" s="43">
        <f t="shared" si="243"/>
        <v>1482055.2</v>
      </c>
      <c r="AK450" s="44">
        <f>VLOOKUP(D450,[1]apoio_Preços_MGS!$A$6:$AN$238,39,FALSE)</f>
        <v>200.00000000000003</v>
      </c>
      <c r="AL450" s="44">
        <f>IF(J450="demais municípios",VLOOKUP(D450,[1]apoio_Preços_MGS!$A$6:$AN$238,39,FALSE),0)</f>
        <v>200.00000000000003</v>
      </c>
      <c r="AM450" s="44">
        <v>0</v>
      </c>
      <c r="AN450" s="45">
        <f>AK450*K450</f>
        <v>800.00000000000011</v>
      </c>
      <c r="AO450" s="44">
        <f>VLOOKUP(D450,[1]apoio_Preços_MGS!$A$6:$AN$238,40,FALSE)</f>
        <v>551.58000000000004</v>
      </c>
      <c r="AP450" s="44">
        <f>IF(J450="demais municípios",VLOOKUP(D450,[1]apoio_Preços_MGS!$A$6:$AN$238,40,FALSE),0)</f>
        <v>551.58000000000004</v>
      </c>
      <c r="AQ450" s="44">
        <v>0</v>
      </c>
      <c r="AR450" s="45">
        <f>AO450*K450</f>
        <v>2206.3200000000002</v>
      </c>
      <c r="AS450" s="45">
        <f t="shared" si="220"/>
        <v>3006.32</v>
      </c>
      <c r="AT450" s="45">
        <f t="shared" si="221"/>
        <v>180379.2</v>
      </c>
      <c r="AU450" s="62"/>
      <c r="AV450" s="46"/>
      <c r="AW450" s="47"/>
      <c r="AX450" s="48"/>
      <c r="AY450" s="49"/>
      <c r="BA450" s="48"/>
    </row>
    <row r="451" spans="1:53" ht="19.5" customHeight="1" x14ac:dyDescent="0.25">
      <c r="A451" s="33" t="str">
        <f t="shared" si="216"/>
        <v>63673440,05</v>
      </c>
      <c r="B451" s="33" t="str">
        <f t="shared" si="217"/>
        <v>2490,05</v>
      </c>
      <c r="C451" s="34" t="str">
        <f>VLOOKUP(D451,[1]apoio_Preços_MGS!$A$6:$B$238,2,FALSE)</f>
        <v>OPERADOR DE SOM E IMAGEM</v>
      </c>
      <c r="D451" s="35">
        <v>249</v>
      </c>
      <c r="E451" s="33" t="str">
        <f>VLOOKUP(D451,[1]apoio_Preços_MGS!$A$6:$F$238,6,FALSE)</f>
        <v>OPERADOR DE SOM E IMAGEM - DIARISTA DIURNO - 44H</v>
      </c>
      <c r="F451" s="36">
        <f>IFERROR(VLOOKUP(D451,'[1]apoio_cód catmas'!$B$2:$C$863,2,FALSE),0)</f>
        <v>63673</v>
      </c>
      <c r="G451" s="33" t="str">
        <f>IF(H451="N/A",VLOOKUP(F451&amp;40,'[1]apoio_cód catmas'!$A$1:$G$233,4,FALSE),VLOOKUP(F451&amp;H451,'[1]apoio_cód catmas'!$A$1:$G$233,4,FALSE))</f>
        <v>OPERADOR DE SOM E IMAGEM - 40H OU 44H</v>
      </c>
      <c r="H451" s="36">
        <v>44</v>
      </c>
      <c r="I451" s="37">
        <v>0.05</v>
      </c>
      <c r="J451" s="38" t="s">
        <v>47</v>
      </c>
      <c r="K451" s="39">
        <v>8</v>
      </c>
      <c r="L451" s="39">
        <f t="shared" si="238"/>
        <v>480</v>
      </c>
      <c r="M451" s="40">
        <f>VLOOKUP(D451,[1]apoio_Preços_MGS!$A$6:$AN$238,18,FALSE)</f>
        <v>2660.8357000000001</v>
      </c>
      <c r="N451" s="40">
        <f>VLOOKUP(D451,[1]apoio_Preços_MGS!$A$6:$AN$238,19,FALSE)</f>
        <v>0</v>
      </c>
      <c r="O451" s="40">
        <f>VLOOKUP(D451,[1]apoio_Preços_MGS!$A$6:$AN$238,20,FALSE)</f>
        <v>0</v>
      </c>
      <c r="P451" s="40">
        <f>VLOOKUP(D451,[1]apoio_Preços_MGS!$A$6:$AN$238,21,FALSE)</f>
        <v>0</v>
      </c>
      <c r="Q451" s="40">
        <f>VLOOKUP(D451,[1]apoio_Preços_MGS!$A$6:$AN$238,22,FALSE)</f>
        <v>0</v>
      </c>
      <c r="R451" s="40">
        <f>VLOOKUP(D451,[1]apoio_Preços_MGS!$A$6:$AN$238,23,FALSE)</f>
        <v>0</v>
      </c>
      <c r="S451" s="40">
        <f>VLOOKUP(D451,[1]apoio_Preços_MGS!$A$6:$AN$238,24,FALSE)</f>
        <v>0</v>
      </c>
      <c r="T451" s="40">
        <f>VLOOKUP(D451,[1]apoio_Preços_MGS!$A$6:$AN$238,25,FALSE)</f>
        <v>0</v>
      </c>
      <c r="U451" s="40">
        <f t="shared" si="247"/>
        <v>2660.8357000000001</v>
      </c>
      <c r="V451" s="41">
        <f>VLOOKUP(D451,[1]apoio_Preços_MGS!$A$6:$AN$238,27,FALSE)</f>
        <v>0.81799999999999995</v>
      </c>
      <c r="W451" s="40">
        <f t="shared" si="248"/>
        <v>2176.5636025999997</v>
      </c>
      <c r="X451" s="40">
        <f>VLOOKUP(D451,[1]apoio_Preços_MGS!$A$6:$AN$238,29,FALSE)</f>
        <v>20.923636363636362</v>
      </c>
      <c r="Y451" s="40">
        <f>VLOOKUP(D451,[1]apoio_Preços_MGS!$A$6:$AN$238,30,FALSE)</f>
        <v>11.026363636363635</v>
      </c>
      <c r="Z451" s="40">
        <f t="shared" si="239"/>
        <v>31.949999999999996</v>
      </c>
      <c r="AA451" s="40">
        <f>VLOOKUP(D451,[1]apoio_Preços_MGS!$A$6:$AN$238,32,FALSE)</f>
        <v>5.1088045439999998</v>
      </c>
      <c r="AB451" s="40">
        <f>VLOOKUP(D451,[1]apoio_Preços_MGS!$A$6:$AN$238,33,FALSE)</f>
        <v>153.73500000000001</v>
      </c>
      <c r="AC451" s="41">
        <f>VLOOKUP(D451,[1]apoio_Preços_MGS!$A$6:$AN$238,34,FALSE)</f>
        <v>0</v>
      </c>
      <c r="AD451" s="40">
        <f>(U451+W451+Z451+AB451+AA451+VLOOKUP(C451,[1]apoio_Prec_Folha!$A:$S,7,FALSE))*AC451</f>
        <v>0</v>
      </c>
      <c r="AE451" s="42">
        <f>VLOOKUP(D451,[1]apoio_Preços_MGS!$A$6:$AN$238,36,FALSE)</f>
        <v>7.0000000000000007E-2</v>
      </c>
      <c r="AF451" s="40">
        <f>(U451+W451+Z451+AB451+AD451+AA451+VLOOKUP(C451,[1]apoio_Prec_Folha!$A:$S,7,FALSE))*AE451</f>
        <v>390.58411750007997</v>
      </c>
      <c r="AG451" s="40">
        <f t="shared" si="240"/>
        <v>5418.77</v>
      </c>
      <c r="AH451" s="43">
        <f t="shared" si="241"/>
        <v>6319.26</v>
      </c>
      <c r="AI451" s="43">
        <f t="shared" si="242"/>
        <v>50554.080000000002</v>
      </c>
      <c r="AJ451" s="43">
        <f t="shared" si="243"/>
        <v>3033244.8000000003</v>
      </c>
      <c r="AK451" s="44">
        <f>VLOOKUP(D451,[1]apoio_Preços_MGS!$A$6:$AN$238,39,FALSE)</f>
        <v>200.00000000000003</v>
      </c>
      <c r="AL451" s="44">
        <f>IF(J451="demais municípios",VLOOKUP(D451,[1]apoio_Preços_MGS!$A$6:$AN$238,39,FALSE),0)</f>
        <v>0</v>
      </c>
      <c r="AM451" s="44">
        <f>TRUNC(ROUND(($I451)/(1-($I451)),5)*VLOOKUP(D451,[1]apoio_Preços_MGS!$A$6:$AN$238,39,FALSE)+VLOOKUP(D451,[1]apoio_Preços_MGS!$A$6:$AN$238,39,FALSE),2)</f>
        <v>210.52</v>
      </c>
      <c r="AN451" s="45">
        <f t="shared" si="222"/>
        <v>1684.16</v>
      </c>
      <c r="AO451" s="44">
        <f>VLOOKUP(D451,[1]apoio_Preços_MGS!$A$6:$AN$238,40,FALSE)</f>
        <v>551.58000000000004</v>
      </c>
      <c r="AP451" s="44">
        <f>IF(J451="demais municípios",VLOOKUP(D451,[1]apoio_Preços_MGS!$A$6:$AN$238,40,FALSE),0)</f>
        <v>0</v>
      </c>
      <c r="AQ451" s="44">
        <f>TRUNC(ROUND(($I451)/(1-($I451)),5)*VLOOKUP(D451,[1]apoio_Preços_MGS!$A$6:$AN$238,40,FALSE)+VLOOKUP(D451,[1]apoio_Preços_MGS!$A$6:$AN$238,40,FALSE),2)</f>
        <v>580.6</v>
      </c>
      <c r="AR451" s="45">
        <f t="shared" si="223"/>
        <v>4644.8</v>
      </c>
      <c r="AS451" s="45">
        <f t="shared" si="220"/>
        <v>6328.96</v>
      </c>
      <c r="AT451" s="45">
        <f t="shared" si="221"/>
        <v>379737.59999999998</v>
      </c>
      <c r="AU451" s="62"/>
      <c r="AV451" s="46"/>
      <c r="AW451" s="47"/>
      <c r="AX451" s="48"/>
      <c r="AY451" s="49"/>
      <c r="BA451" s="48"/>
    </row>
    <row r="452" spans="1:53" ht="19.5" customHeight="1" x14ac:dyDescent="0.25">
      <c r="A452" s="33" t="str">
        <f t="shared" si="216"/>
        <v>149233400,05</v>
      </c>
      <c r="B452" s="33" t="str">
        <f t="shared" si="217"/>
        <v>19070,05</v>
      </c>
      <c r="C452" s="34" t="str">
        <f>VLOOKUP(D452,[1]apoio_Preços_MGS!$A$6:$B$238,2,FALSE)</f>
        <v>OPERADOR FABRIL</v>
      </c>
      <c r="D452" s="35">
        <v>1907</v>
      </c>
      <c r="E452" s="33" t="str">
        <f>VLOOKUP(D452,[1]apoio_Preços_MGS!$A$6:$F$238,6,FALSE)</f>
        <v>OPERADOR FABRIL - DIARISTA DIURNO - 40H</v>
      </c>
      <c r="F452" s="36">
        <f>IFERROR(VLOOKUP(D452,'[1]apoio_cód catmas'!$B$2:$C$863,2,FALSE),0)</f>
        <v>149233</v>
      </c>
      <c r="G452" s="33" t="str">
        <f>IF(H452="N/A",VLOOKUP(F452&amp;40,'[1]apoio_cód catmas'!$A$1:$G$233,4,FALSE),VLOOKUP(F452&amp;H452,'[1]apoio_cód catmas'!$A$1:$G$233,4,FALSE))</f>
        <v>OPERADOR FABRIL - 20H, 22H, 30H, 36H, 40H OU 44H</v>
      </c>
      <c r="H452" s="36">
        <v>40</v>
      </c>
      <c r="I452" s="37">
        <v>0.05</v>
      </c>
      <c r="J452" s="38" t="s">
        <v>47</v>
      </c>
      <c r="K452" s="39">
        <v>40</v>
      </c>
      <c r="L452" s="39">
        <f t="shared" si="238"/>
        <v>2400</v>
      </c>
      <c r="M452" s="40">
        <f>VLOOKUP(D452,[1]apoio_Preços_MGS!$A$6:$AN$238,18,FALSE)</f>
        <v>2282.3647500000002</v>
      </c>
      <c r="N452" s="40">
        <f>VLOOKUP(D452,[1]apoio_Preços_MGS!$A$6:$AN$238,19,FALSE)</f>
        <v>0</v>
      </c>
      <c r="O452" s="40">
        <f>VLOOKUP(D452,[1]apoio_Preços_MGS!$A$6:$AN$238,20,FALSE)</f>
        <v>0</v>
      </c>
      <c r="P452" s="40">
        <f>VLOOKUP(D452,[1]apoio_Preços_MGS!$A$6:$AN$238,21,FALSE)</f>
        <v>0</v>
      </c>
      <c r="Q452" s="40">
        <f>VLOOKUP(D452,[1]apoio_Preços_MGS!$A$6:$AN$238,22,FALSE)</f>
        <v>0</v>
      </c>
      <c r="R452" s="40">
        <f>VLOOKUP(D452,[1]apoio_Preços_MGS!$A$6:$AN$238,23,FALSE)</f>
        <v>0</v>
      </c>
      <c r="S452" s="40">
        <f>VLOOKUP(D452,[1]apoio_Preços_MGS!$A$6:$AN$238,24,FALSE)</f>
        <v>0</v>
      </c>
      <c r="T452" s="40">
        <f>VLOOKUP(D452,[1]apoio_Preços_MGS!$A$6:$AN$238,25,FALSE)</f>
        <v>0</v>
      </c>
      <c r="U452" s="40">
        <f>SUM(M452:T452)</f>
        <v>2282.3647500000002</v>
      </c>
      <c r="V452" s="41">
        <f>VLOOKUP(D452,[1]apoio_Preços_MGS!$A$6:$AN$238,27,FALSE)</f>
        <v>0.81799999999999995</v>
      </c>
      <c r="W452" s="40">
        <f>U452*V452</f>
        <v>1866.9743655</v>
      </c>
      <c r="X452" s="40">
        <f>VLOOKUP(D452,[1]apoio_Preços_MGS!$A$6:$AN$238,29,FALSE)</f>
        <v>0</v>
      </c>
      <c r="Y452" s="40">
        <f>VLOOKUP(D452,[1]apoio_Preços_MGS!$A$6:$AN$238,30,FALSE)</f>
        <v>29.12</v>
      </c>
      <c r="Z452" s="40">
        <f>Y452+X452</f>
        <v>29.12</v>
      </c>
      <c r="AA452" s="40">
        <f>VLOOKUP(D452,[1]apoio_Preços_MGS!$A$6:$AN$238,32,FALSE)</f>
        <v>4.3821403199999995</v>
      </c>
      <c r="AB452" s="40">
        <f>VLOOKUP(D452,[1]apoio_Preços_MGS!$A$6:$AN$238,33,FALSE)</f>
        <v>413.05454545454546</v>
      </c>
      <c r="AC452" s="41">
        <f>VLOOKUP(D452,[1]apoio_Preços_MGS!$A$6:$AN$238,34,FALSE)</f>
        <v>0</v>
      </c>
      <c r="AD452" s="40">
        <f>(U452+W452+Z452+AB452+AA452+VLOOKUP(C452,[1]apoio_Prec_Folha!$A:$S,7,FALSE))*AC452</f>
        <v>0</v>
      </c>
      <c r="AE452" s="42">
        <f>VLOOKUP(D452,[1]apoio_Preços_MGS!$A$6:$AN$238,36,FALSE)</f>
        <v>7.0000000000000007E-2</v>
      </c>
      <c r="AF452" s="40">
        <f>(U452+W452+Z452+AB452+AD452+AA452+VLOOKUP(C452,[1]apoio_Prec_Folha!$A:$S,7,FALSE))*AE452</f>
        <v>360.32330608921819</v>
      </c>
      <c r="AG452" s="40">
        <f>TRUNC(U452+W452+Z452+AB452+AA452+AD452+AF452,2)</f>
        <v>4956.21</v>
      </c>
      <c r="AH452" s="43">
        <f>TRUNC($AG452*ROUND((7.6%+1.65%+$I452)/(1-(7.6%+1.65%+$I452)),5)+$AG452,2)</f>
        <v>5779.83</v>
      </c>
      <c r="AI452" s="43">
        <f>AH452*K452</f>
        <v>231193.2</v>
      </c>
      <c r="AJ452" s="43">
        <f>AH452*L452</f>
        <v>13871592</v>
      </c>
      <c r="AK452" s="44">
        <f>VLOOKUP(D452,[1]apoio_Preços_MGS!$A$6:$AN$238,39,FALSE)</f>
        <v>181.81818181818184</v>
      </c>
      <c r="AL452" s="44">
        <f>IF(J452="demais municípios",VLOOKUP(D452,[1]apoio_Preços_MGS!$A$6:$AN$238,39,FALSE),0)</f>
        <v>0</v>
      </c>
      <c r="AM452" s="44">
        <f>TRUNC(ROUND(($I452)/(1-($I452)),5)*VLOOKUP(D452,[1]apoio_Preços_MGS!$A$6:$AN$238,39,FALSE)+VLOOKUP(D452,[1]apoio_Preços_MGS!$A$6:$AN$238,39,FALSE),2)</f>
        <v>191.38</v>
      </c>
      <c r="AN452" s="45">
        <f t="shared" si="222"/>
        <v>7655.2</v>
      </c>
      <c r="AO452" s="44">
        <f>VLOOKUP(D452,[1]apoio_Preços_MGS!$A$6:$AN$238,40,FALSE)</f>
        <v>551.58000000000004</v>
      </c>
      <c r="AP452" s="44">
        <f>IF(J452="demais municípios",VLOOKUP(D452,[1]apoio_Preços_MGS!$A$6:$AN$238,40,FALSE),0)</f>
        <v>0</v>
      </c>
      <c r="AQ452" s="44">
        <f>TRUNC(ROUND(($I452)/(1-($I452)),5)*VLOOKUP(D452,[1]apoio_Preços_MGS!$A$6:$AN$238,40,FALSE)+VLOOKUP(D452,[1]apoio_Preços_MGS!$A$6:$AN$238,40,FALSE),2)</f>
        <v>580.6</v>
      </c>
      <c r="AR452" s="45">
        <f t="shared" si="223"/>
        <v>23224</v>
      </c>
      <c r="AS452" s="45">
        <f t="shared" si="220"/>
        <v>30879.200000000001</v>
      </c>
      <c r="AT452" s="45">
        <f t="shared" si="221"/>
        <v>1852752</v>
      </c>
      <c r="AU452" s="62"/>
      <c r="AV452" s="46"/>
      <c r="AW452" s="47"/>
      <c r="AX452" s="48"/>
      <c r="AY452" s="49"/>
      <c r="BA452" s="48"/>
    </row>
    <row r="453" spans="1:53" ht="19.5" customHeight="1" x14ac:dyDescent="0.25">
      <c r="A453" s="33" t="str">
        <f t="shared" si="216"/>
        <v>106348440,02</v>
      </c>
      <c r="B453" s="33" t="str">
        <f t="shared" si="217"/>
        <v>3940,02</v>
      </c>
      <c r="C453" s="34" t="str">
        <f>VLOOKUP(D453,[1]apoio_Preços_MGS!$A$6:$B$238,2,FALSE)</f>
        <v>ORIENTADOR AMBIENTAL</v>
      </c>
      <c r="D453" s="35">
        <v>394</v>
      </c>
      <c r="E453" s="33" t="str">
        <f>VLOOKUP(D453,[1]apoio_Preços_MGS!$A$6:$F$238,6,FALSE)</f>
        <v>ORIENTADOR AMBIENTAL - DIARISTA DIURNO - 44H</v>
      </c>
      <c r="F453" s="36">
        <f>IFERROR(VLOOKUP(D453,'[1]apoio_cód catmas'!$B$2:$C$863,2,FALSE),0)</f>
        <v>106348</v>
      </c>
      <c r="G453" s="33" t="str">
        <f>IF(H453="N/A",VLOOKUP(F453&amp;40,'[1]apoio_cód catmas'!$A$1:$G$233,4,FALSE),VLOOKUP(F453&amp;H453,'[1]apoio_cód catmas'!$A$1:$G$233,4,FALSE))</f>
        <v>ORIENTADOR AMBIENTAL  - 44 HORAS</v>
      </c>
      <c r="H453" s="36">
        <v>44</v>
      </c>
      <c r="I453" s="37">
        <v>0.02</v>
      </c>
      <c r="J453" s="38" t="s">
        <v>46</v>
      </c>
      <c r="K453" s="39">
        <v>10</v>
      </c>
      <c r="L453" s="39">
        <f t="shared" si="238"/>
        <v>600</v>
      </c>
      <c r="M453" s="40">
        <f>VLOOKUP(D453,[1]apoio_Preços_MGS!$A$6:$AN$238,18,FALSE)</f>
        <v>2678.9096391666685</v>
      </c>
      <c r="N453" s="40">
        <f>VLOOKUP(D453,[1]apoio_Preços_MGS!$A$6:$AN$238,19,FALSE)</f>
        <v>0</v>
      </c>
      <c r="O453" s="40">
        <f>VLOOKUP(D453,[1]apoio_Preços_MGS!$A$6:$AN$238,20,FALSE)</f>
        <v>0</v>
      </c>
      <c r="P453" s="40">
        <f>VLOOKUP(D453,[1]apoio_Preços_MGS!$A$6:$AN$238,21,FALSE)</f>
        <v>0</v>
      </c>
      <c r="Q453" s="40">
        <f>VLOOKUP(D453,[1]apoio_Preços_MGS!$A$6:$AN$238,22,FALSE)</f>
        <v>0</v>
      </c>
      <c r="R453" s="40">
        <f>VLOOKUP(D453,[1]apoio_Preços_MGS!$A$6:$AN$238,23,FALSE)</f>
        <v>0</v>
      </c>
      <c r="S453" s="40">
        <f>VLOOKUP(D453,[1]apoio_Preços_MGS!$A$6:$AN$238,24,FALSE)</f>
        <v>0</v>
      </c>
      <c r="T453" s="40">
        <f>VLOOKUP(D453,[1]apoio_Preços_MGS!$A$6:$AN$238,25,FALSE)</f>
        <v>0</v>
      </c>
      <c r="U453" s="40">
        <f t="shared" si="247"/>
        <v>2678.9096391666685</v>
      </c>
      <c r="V453" s="41">
        <f>VLOOKUP(D453,[1]apoio_Preços_MGS!$A$6:$AN$238,27,FALSE)</f>
        <v>0.81799999999999995</v>
      </c>
      <c r="W453" s="40">
        <f t="shared" si="248"/>
        <v>2191.3480848383347</v>
      </c>
      <c r="X453" s="40">
        <f>VLOOKUP(D453,[1]apoio_Preços_MGS!$A$6:$AN$238,29,FALSE)</f>
        <v>30.014545454545452</v>
      </c>
      <c r="Y453" s="40">
        <f>VLOOKUP(D453,[1]apoio_Preços_MGS!$A$6:$AN$238,30,FALSE)</f>
        <v>237.42725420875416</v>
      </c>
      <c r="Z453" s="40">
        <f t="shared" si="239"/>
        <v>267.44179966329961</v>
      </c>
      <c r="AA453" s="40">
        <f>VLOOKUP(D453,[1]apoio_Preços_MGS!$A$6:$AN$238,32,FALSE)</f>
        <v>5.1435065072000032</v>
      </c>
      <c r="AB453" s="40">
        <f>VLOOKUP(D453,[1]apoio_Preços_MGS!$A$6:$AN$238,33,FALSE)</f>
        <v>234.87788888888895</v>
      </c>
      <c r="AC453" s="41">
        <f>VLOOKUP(D453,[1]apoio_Preços_MGS!$A$6:$AN$238,34,FALSE)</f>
        <v>0</v>
      </c>
      <c r="AD453" s="40">
        <f>(U453+W453+Z453+AB453+AA453+VLOOKUP(C453,[1]apoio_Prec_Folha!$A:$S,7,FALSE))*AC453</f>
        <v>0</v>
      </c>
      <c r="AE453" s="42">
        <f>VLOOKUP(D453,[1]apoio_Preços_MGS!$A$6:$AN$238,36,FALSE)</f>
        <v>7.0000000000000007E-2</v>
      </c>
      <c r="AF453" s="40">
        <f>(U453+W453+Z453+AB453+AD453+AA453+VLOOKUP(C453,[1]apoio_Prec_Folha!$A:$S,7,FALSE))*AE453</f>
        <v>414.84162433450757</v>
      </c>
      <c r="AG453" s="40">
        <f t="shared" si="240"/>
        <v>5792.56</v>
      </c>
      <c r="AH453" s="43">
        <f t="shared" si="241"/>
        <v>6526.82</v>
      </c>
      <c r="AI453" s="43">
        <f t="shared" si="242"/>
        <v>65268.2</v>
      </c>
      <c r="AJ453" s="43">
        <f t="shared" si="243"/>
        <v>3916092</v>
      </c>
      <c r="AK453" s="44">
        <f>VLOOKUP(D453,[1]apoio_Preços_MGS!$A$6:$AN$238,39,FALSE)</f>
        <v>200.00000000000003</v>
      </c>
      <c r="AL453" s="44">
        <f>IF(J453="demais municípios",VLOOKUP(D453,[1]apoio_Preços_MGS!$A$6:$AN$238,39,FALSE),0)</f>
        <v>200.00000000000003</v>
      </c>
      <c r="AM453" s="44">
        <v>0</v>
      </c>
      <c r="AN453" s="45">
        <f t="shared" ref="AN453:AN460" si="251">AK453*K453</f>
        <v>2000.0000000000002</v>
      </c>
      <c r="AO453" s="44">
        <f>VLOOKUP(D453,[1]apoio_Preços_MGS!$A$6:$AN$238,40,FALSE)</f>
        <v>648.33000000000004</v>
      </c>
      <c r="AP453" s="44">
        <f>IF(J453="demais municípios",VLOOKUP(D453,[1]apoio_Preços_MGS!$A$6:$AN$238,40,FALSE),0)</f>
        <v>648.33000000000004</v>
      </c>
      <c r="AQ453" s="44">
        <v>0</v>
      </c>
      <c r="AR453" s="45">
        <f t="shared" ref="AR453:AR460" si="252">AO453*K453</f>
        <v>6483.3</v>
      </c>
      <c r="AS453" s="45">
        <f t="shared" si="220"/>
        <v>8483.3000000000011</v>
      </c>
      <c r="AT453" s="45">
        <f t="shared" si="221"/>
        <v>508998.00000000006</v>
      </c>
      <c r="AU453" s="62"/>
      <c r="AV453" s="46"/>
      <c r="AW453" s="47"/>
      <c r="AX453" s="48"/>
      <c r="AY453" s="49"/>
      <c r="BA453" s="48"/>
    </row>
    <row r="454" spans="1:53" ht="19.5" customHeight="1" x14ac:dyDescent="0.25">
      <c r="A454" s="33" t="str">
        <f t="shared" ref="A454:A522" si="253">CONCATENATE(F454,H454,I454)</f>
        <v>106348440,025</v>
      </c>
      <c r="B454" s="33" t="str">
        <f t="shared" ref="B454:B522" si="254">CONCATENATE(D454,I454)</f>
        <v>3940,025</v>
      </c>
      <c r="C454" s="34" t="str">
        <f>VLOOKUP(D454,[1]apoio_Preços_MGS!$A$6:$B$238,2,FALSE)</f>
        <v>ORIENTADOR AMBIENTAL</v>
      </c>
      <c r="D454" s="35">
        <v>394</v>
      </c>
      <c r="E454" s="33" t="str">
        <f>VLOOKUP(D454,[1]apoio_Preços_MGS!$A$6:$F$238,6,FALSE)</f>
        <v>ORIENTADOR AMBIENTAL - DIARISTA DIURNO - 44H</v>
      </c>
      <c r="F454" s="36">
        <f>IFERROR(VLOOKUP(D454,'[1]apoio_cód catmas'!$B$2:$C$863,2,FALSE),0)</f>
        <v>106348</v>
      </c>
      <c r="G454" s="33" t="str">
        <f>IF(H454="N/A",VLOOKUP(F454&amp;40,'[1]apoio_cód catmas'!$A$1:$G$233,4,FALSE),VLOOKUP(F454&amp;H454,'[1]apoio_cód catmas'!$A$1:$G$233,4,FALSE))</f>
        <v>ORIENTADOR AMBIENTAL  - 44 HORAS</v>
      </c>
      <c r="H454" s="36">
        <v>44</v>
      </c>
      <c r="I454" s="37">
        <v>2.5000000000000001E-2</v>
      </c>
      <c r="J454" s="38" t="s">
        <v>46</v>
      </c>
      <c r="K454" s="39">
        <v>1</v>
      </c>
      <c r="L454" s="39">
        <f t="shared" si="238"/>
        <v>60</v>
      </c>
      <c r="M454" s="40">
        <f>VLOOKUP(D454,[1]apoio_Preços_MGS!$A$6:$AN$238,18,FALSE)</f>
        <v>2678.9096391666685</v>
      </c>
      <c r="N454" s="40">
        <f>VLOOKUP(D454,[1]apoio_Preços_MGS!$A$6:$AN$238,19,FALSE)</f>
        <v>0</v>
      </c>
      <c r="O454" s="40">
        <f>VLOOKUP(D454,[1]apoio_Preços_MGS!$A$6:$AN$238,20,FALSE)</f>
        <v>0</v>
      </c>
      <c r="P454" s="40">
        <f>VLOOKUP(D454,[1]apoio_Preços_MGS!$A$6:$AN$238,21,FALSE)</f>
        <v>0</v>
      </c>
      <c r="Q454" s="40">
        <f>VLOOKUP(D454,[1]apoio_Preços_MGS!$A$6:$AN$238,22,FALSE)</f>
        <v>0</v>
      </c>
      <c r="R454" s="40">
        <f>VLOOKUP(D454,[1]apoio_Preços_MGS!$A$6:$AN$238,23,FALSE)</f>
        <v>0</v>
      </c>
      <c r="S454" s="40">
        <f>VLOOKUP(D454,[1]apoio_Preços_MGS!$A$6:$AN$238,24,FALSE)</f>
        <v>0</v>
      </c>
      <c r="T454" s="40">
        <f>VLOOKUP(D454,[1]apoio_Preços_MGS!$A$6:$AN$238,25,FALSE)</f>
        <v>0</v>
      </c>
      <c r="U454" s="40">
        <f t="shared" si="247"/>
        <v>2678.9096391666685</v>
      </c>
      <c r="V454" s="41">
        <v>0.81799999999999995</v>
      </c>
      <c r="W454" s="40">
        <f t="shared" si="248"/>
        <v>2191.3480848383347</v>
      </c>
      <c r="X454" s="40">
        <f>VLOOKUP(D454,[1]apoio_Preços_MGS!$A$6:$AN$238,29,FALSE)</f>
        <v>30.014545454545452</v>
      </c>
      <c r="Y454" s="40">
        <f>VLOOKUP(D454,[1]apoio_Preços_MGS!$A$6:$AN$238,30,FALSE)</f>
        <v>237.42725420875416</v>
      </c>
      <c r="Z454" s="40">
        <f t="shared" si="239"/>
        <v>267.44179966329961</v>
      </c>
      <c r="AA454" s="40">
        <f>VLOOKUP(D454,[1]apoio_Preços_MGS!$A$6:$AN$238,32,FALSE)</f>
        <v>5.1435065072000032</v>
      </c>
      <c r="AB454" s="40">
        <f>VLOOKUP(D454,[1]apoio_Preços_MGS!$A$6:$AN$238,33,FALSE)</f>
        <v>234.87788888888895</v>
      </c>
      <c r="AC454" s="41">
        <f>VLOOKUP(D454,[1]apoio_Preços_MGS!$A$6:$AN$238,34,FALSE)</f>
        <v>0</v>
      </c>
      <c r="AD454" s="40">
        <f>(U454+W454+Z454+AB454+AA454+VLOOKUP(C454,[1]apoio_Prec_Folha!$A:$S,7,FALSE))*AC454</f>
        <v>0</v>
      </c>
      <c r="AE454" s="42">
        <f>VLOOKUP(D454,[1]apoio_Preços_MGS!$A$6:$AN$238,36,FALSE)</f>
        <v>7.0000000000000007E-2</v>
      </c>
      <c r="AF454" s="40">
        <f>(U454+W454+Z454+AB454+AD454+AA454+VLOOKUP(C454,[1]apoio_Prec_Folha!$A:$S,7,FALSE))*AE454</f>
        <v>414.84162433450757</v>
      </c>
      <c r="AG454" s="40">
        <f t="shared" si="240"/>
        <v>5792.56</v>
      </c>
      <c r="AH454" s="43">
        <f t="shared" si="241"/>
        <v>6563.78</v>
      </c>
      <c r="AI454" s="43">
        <f t="shared" si="242"/>
        <v>6563.78</v>
      </c>
      <c r="AJ454" s="43">
        <f t="shared" si="243"/>
        <v>393826.8</v>
      </c>
      <c r="AK454" s="44">
        <f>VLOOKUP(D454,[1]apoio_Preços_MGS!$A$6:$AN$238,39,FALSE)</f>
        <v>200.00000000000003</v>
      </c>
      <c r="AL454" s="44">
        <f>IF(J454="demais municípios",VLOOKUP(D454,[1]apoio_Preços_MGS!$A$6:$AN$238,39,FALSE),0)</f>
        <v>200.00000000000003</v>
      </c>
      <c r="AM454" s="44">
        <v>0</v>
      </c>
      <c r="AN454" s="45">
        <f t="shared" si="251"/>
        <v>200.00000000000003</v>
      </c>
      <c r="AO454" s="44">
        <f>VLOOKUP(D454,[1]apoio_Preços_MGS!$A$6:$AN$238,40,FALSE)</f>
        <v>648.33000000000004</v>
      </c>
      <c r="AP454" s="44">
        <f>IF(J454="demais municípios",VLOOKUP(D454,[1]apoio_Preços_MGS!$A$6:$AN$238,40,FALSE),0)</f>
        <v>648.33000000000004</v>
      </c>
      <c r="AQ454" s="44">
        <v>0</v>
      </c>
      <c r="AR454" s="45">
        <f t="shared" si="252"/>
        <v>648.33000000000004</v>
      </c>
      <c r="AS454" s="45">
        <f t="shared" si="220"/>
        <v>848.33</v>
      </c>
      <c r="AT454" s="45">
        <f t="shared" si="221"/>
        <v>50899.8</v>
      </c>
      <c r="AU454" s="62"/>
      <c r="AV454" s="46"/>
      <c r="AW454" s="47"/>
      <c r="AX454" s="48"/>
      <c r="AY454" s="49"/>
      <c r="BA454" s="48"/>
    </row>
    <row r="455" spans="1:53" ht="19.5" customHeight="1" x14ac:dyDescent="0.25">
      <c r="A455" s="33" t="str">
        <f t="shared" si="253"/>
        <v>106348440,027</v>
      </c>
      <c r="B455" s="33" t="str">
        <f t="shared" si="254"/>
        <v>3940,027</v>
      </c>
      <c r="C455" s="34" t="str">
        <f>VLOOKUP(D455,[1]apoio_Preços_MGS!$A$6:$B$238,2,FALSE)</f>
        <v>ORIENTADOR AMBIENTAL</v>
      </c>
      <c r="D455" s="35">
        <v>394</v>
      </c>
      <c r="E455" s="33" t="str">
        <f>VLOOKUP(D455,[1]apoio_Preços_MGS!$A$6:$F$238,6,FALSE)</f>
        <v>ORIENTADOR AMBIENTAL - DIARISTA DIURNO - 44H</v>
      </c>
      <c r="F455" s="36">
        <f>IFERROR(VLOOKUP(D455,'[1]apoio_cód catmas'!$B$2:$C$863,2,FALSE),0)</f>
        <v>106348</v>
      </c>
      <c r="G455" s="33" t="str">
        <f>IF(H455="N/A",VLOOKUP(F455&amp;40,'[1]apoio_cód catmas'!$A$1:$G$233,4,FALSE),VLOOKUP(F455&amp;H455,'[1]apoio_cód catmas'!$A$1:$G$233,4,FALSE))</f>
        <v>ORIENTADOR AMBIENTAL  - 44 HORAS</v>
      </c>
      <c r="H455" s="36">
        <v>44</v>
      </c>
      <c r="I455" s="37">
        <v>2.7000000000000003E-2</v>
      </c>
      <c r="J455" s="38" t="s">
        <v>46</v>
      </c>
      <c r="K455" s="39">
        <v>4</v>
      </c>
      <c r="L455" s="39">
        <f t="shared" si="238"/>
        <v>240</v>
      </c>
      <c r="M455" s="40">
        <f>VLOOKUP(D455,[1]apoio_Preços_MGS!$A$6:$AN$238,18,FALSE)</f>
        <v>2678.9096391666685</v>
      </c>
      <c r="N455" s="40">
        <f>VLOOKUP(D455,[1]apoio_Preços_MGS!$A$6:$AN$238,19,FALSE)</f>
        <v>0</v>
      </c>
      <c r="O455" s="40">
        <f>VLOOKUP(D455,[1]apoio_Preços_MGS!$A$6:$AN$238,20,FALSE)</f>
        <v>0</v>
      </c>
      <c r="P455" s="40">
        <f>VLOOKUP(D455,[1]apoio_Preços_MGS!$A$6:$AN$238,21,FALSE)</f>
        <v>0</v>
      </c>
      <c r="Q455" s="40">
        <f>VLOOKUP(D455,[1]apoio_Preços_MGS!$A$6:$AN$238,22,FALSE)</f>
        <v>0</v>
      </c>
      <c r="R455" s="40">
        <f>VLOOKUP(D455,[1]apoio_Preços_MGS!$A$6:$AN$238,23,FALSE)</f>
        <v>0</v>
      </c>
      <c r="S455" s="40">
        <f>VLOOKUP(D455,[1]apoio_Preços_MGS!$A$6:$AN$238,24,FALSE)</f>
        <v>0</v>
      </c>
      <c r="T455" s="40">
        <f>VLOOKUP(D455,[1]apoio_Preços_MGS!$A$6:$AN$238,25,FALSE)</f>
        <v>0</v>
      </c>
      <c r="U455" s="40">
        <f t="shared" si="247"/>
        <v>2678.9096391666685</v>
      </c>
      <c r="V455" s="41">
        <v>0.81799999999999995</v>
      </c>
      <c r="W455" s="40">
        <f t="shared" si="248"/>
        <v>2191.3480848383347</v>
      </c>
      <c r="X455" s="40">
        <f>VLOOKUP(D455,[1]apoio_Preços_MGS!$A$6:$AN$238,29,FALSE)</f>
        <v>30.014545454545452</v>
      </c>
      <c r="Y455" s="40">
        <f>VLOOKUP(D455,[1]apoio_Preços_MGS!$A$6:$AN$238,30,FALSE)</f>
        <v>237.42725420875416</v>
      </c>
      <c r="Z455" s="40">
        <f t="shared" si="239"/>
        <v>267.44179966329961</v>
      </c>
      <c r="AA455" s="40">
        <f>VLOOKUP(D455,[1]apoio_Preços_MGS!$A$6:$AN$238,32,FALSE)</f>
        <v>5.1435065072000032</v>
      </c>
      <c r="AB455" s="40">
        <f>VLOOKUP(D455,[1]apoio_Preços_MGS!$A$6:$AN$238,33,FALSE)</f>
        <v>234.87788888888895</v>
      </c>
      <c r="AC455" s="41">
        <f>VLOOKUP(D455,[1]apoio_Preços_MGS!$A$6:$AN$238,34,FALSE)</f>
        <v>0</v>
      </c>
      <c r="AD455" s="40">
        <f>(U455+W455+Z455+AB455+AA455+VLOOKUP(C455,[1]apoio_Prec_Folha!$A:$S,7,FALSE))*AC455</f>
        <v>0</v>
      </c>
      <c r="AE455" s="42">
        <f>VLOOKUP(D455,[1]apoio_Preços_MGS!$A$6:$AN$238,36,FALSE)</f>
        <v>7.0000000000000007E-2</v>
      </c>
      <c r="AF455" s="40">
        <f>(U455+W455+Z455+AB455+AD455+AA455+VLOOKUP(C455,[1]apoio_Prec_Folha!$A:$S,7,FALSE))*AE455</f>
        <v>414.84162433450757</v>
      </c>
      <c r="AG455" s="40">
        <f t="shared" si="240"/>
        <v>5792.56</v>
      </c>
      <c r="AH455" s="43">
        <f t="shared" si="241"/>
        <v>6578.72</v>
      </c>
      <c r="AI455" s="43">
        <f t="shared" si="242"/>
        <v>26314.880000000001</v>
      </c>
      <c r="AJ455" s="43">
        <f t="shared" si="243"/>
        <v>1578892.8</v>
      </c>
      <c r="AK455" s="44">
        <f>VLOOKUP(D455,[1]apoio_Preços_MGS!$A$6:$AN$238,39,FALSE)</f>
        <v>200.00000000000003</v>
      </c>
      <c r="AL455" s="44">
        <f>IF(J455="demais municípios",VLOOKUP(D455,[1]apoio_Preços_MGS!$A$6:$AN$238,39,FALSE),0)</f>
        <v>200.00000000000003</v>
      </c>
      <c r="AM455" s="44">
        <v>0</v>
      </c>
      <c r="AN455" s="45">
        <f t="shared" si="251"/>
        <v>800.00000000000011</v>
      </c>
      <c r="AO455" s="44">
        <f>VLOOKUP(D455,[1]apoio_Preços_MGS!$A$6:$AN$238,40,FALSE)</f>
        <v>648.33000000000004</v>
      </c>
      <c r="AP455" s="44">
        <f>IF(J455="demais municípios",VLOOKUP(D455,[1]apoio_Preços_MGS!$A$6:$AN$238,40,FALSE),0)</f>
        <v>648.33000000000004</v>
      </c>
      <c r="AQ455" s="44">
        <v>0</v>
      </c>
      <c r="AR455" s="45">
        <f t="shared" si="252"/>
        <v>2593.3200000000002</v>
      </c>
      <c r="AS455" s="45">
        <f t="shared" si="220"/>
        <v>3393.32</v>
      </c>
      <c r="AT455" s="45">
        <f t="shared" si="221"/>
        <v>203599.2</v>
      </c>
      <c r="AU455" s="62"/>
      <c r="AV455" s="46"/>
      <c r="AW455" s="47"/>
      <c r="AX455" s="48"/>
      <c r="AY455" s="49"/>
      <c r="BA455" s="48"/>
    </row>
    <row r="456" spans="1:53" ht="19.5" customHeight="1" x14ac:dyDescent="0.25">
      <c r="A456" s="33" t="str">
        <f t="shared" si="253"/>
        <v>106348440,03</v>
      </c>
      <c r="B456" s="33" t="str">
        <f t="shared" si="254"/>
        <v>3940,03</v>
      </c>
      <c r="C456" s="34" t="str">
        <f>VLOOKUP(D456,[1]apoio_Preços_MGS!$A$6:$B$238,2,FALSE)</f>
        <v>ORIENTADOR AMBIENTAL</v>
      </c>
      <c r="D456" s="35">
        <v>394</v>
      </c>
      <c r="E456" s="33" t="str">
        <f>VLOOKUP(D456,[1]apoio_Preços_MGS!$A$6:$F$238,6,FALSE)</f>
        <v>ORIENTADOR AMBIENTAL - DIARISTA DIURNO - 44H</v>
      </c>
      <c r="F456" s="36">
        <f>IFERROR(VLOOKUP(D456,'[1]apoio_cód catmas'!$B$2:$C$863,2,FALSE),0)</f>
        <v>106348</v>
      </c>
      <c r="G456" s="33" t="str">
        <f>IF(H456="N/A",VLOOKUP(F456&amp;40,'[1]apoio_cód catmas'!$A$1:$G$233,4,FALSE),VLOOKUP(F456&amp;H456,'[1]apoio_cód catmas'!$A$1:$G$233,4,FALSE))</f>
        <v>ORIENTADOR AMBIENTAL  - 44 HORAS</v>
      </c>
      <c r="H456" s="36">
        <v>44</v>
      </c>
      <c r="I456" s="37">
        <v>0.03</v>
      </c>
      <c r="J456" s="38" t="s">
        <v>46</v>
      </c>
      <c r="K456" s="39">
        <f>38-1</f>
        <v>37</v>
      </c>
      <c r="L456" s="39">
        <f t="shared" si="238"/>
        <v>2220</v>
      </c>
      <c r="M456" s="40">
        <f>VLOOKUP(D456,[1]apoio_Preços_MGS!$A$6:$AN$238,18,FALSE)</f>
        <v>2678.9096391666685</v>
      </c>
      <c r="N456" s="40">
        <f>VLOOKUP(D456,[1]apoio_Preços_MGS!$A$6:$AN$238,19,FALSE)</f>
        <v>0</v>
      </c>
      <c r="O456" s="40">
        <f>VLOOKUP(D456,[1]apoio_Preços_MGS!$A$6:$AN$238,20,FALSE)</f>
        <v>0</v>
      </c>
      <c r="P456" s="40">
        <f>VLOOKUP(D456,[1]apoio_Preços_MGS!$A$6:$AN$238,21,FALSE)</f>
        <v>0</v>
      </c>
      <c r="Q456" s="40">
        <f>VLOOKUP(D456,[1]apoio_Preços_MGS!$A$6:$AN$238,22,FALSE)</f>
        <v>0</v>
      </c>
      <c r="R456" s="40">
        <f>VLOOKUP(D456,[1]apoio_Preços_MGS!$A$6:$AN$238,23,FALSE)</f>
        <v>0</v>
      </c>
      <c r="S456" s="40">
        <f>VLOOKUP(D456,[1]apoio_Preços_MGS!$A$6:$AN$238,24,FALSE)</f>
        <v>0</v>
      </c>
      <c r="T456" s="40">
        <f>VLOOKUP(D456,[1]apoio_Preços_MGS!$A$6:$AN$238,25,FALSE)</f>
        <v>0</v>
      </c>
      <c r="U456" s="40">
        <f t="shared" si="247"/>
        <v>2678.9096391666685</v>
      </c>
      <c r="V456" s="41">
        <v>0.81799999999999995</v>
      </c>
      <c r="W456" s="40">
        <f t="shared" si="248"/>
        <v>2191.3480848383347</v>
      </c>
      <c r="X456" s="40">
        <f>VLOOKUP(D456,[1]apoio_Preços_MGS!$A$6:$AN$238,29,FALSE)</f>
        <v>30.014545454545452</v>
      </c>
      <c r="Y456" s="40">
        <f>VLOOKUP(D456,[1]apoio_Preços_MGS!$A$6:$AN$238,30,FALSE)</f>
        <v>237.42725420875416</v>
      </c>
      <c r="Z456" s="40">
        <f t="shared" si="239"/>
        <v>267.44179966329961</v>
      </c>
      <c r="AA456" s="40">
        <f>VLOOKUP(D456,[1]apoio_Preços_MGS!$A$6:$AN$238,32,FALSE)</f>
        <v>5.1435065072000032</v>
      </c>
      <c r="AB456" s="40">
        <f>VLOOKUP(D456,[1]apoio_Preços_MGS!$A$6:$AN$238,33,FALSE)</f>
        <v>234.87788888888895</v>
      </c>
      <c r="AC456" s="41">
        <f>VLOOKUP(D456,[1]apoio_Preços_MGS!$A$6:$AN$238,34,FALSE)</f>
        <v>0</v>
      </c>
      <c r="AD456" s="40">
        <f>(U456+W456+Z456+AB456+AA456+VLOOKUP(C456,[1]apoio_Prec_Folha!$A:$S,7,FALSE))*AC456</f>
        <v>0</v>
      </c>
      <c r="AE456" s="42">
        <f>VLOOKUP(D456,[1]apoio_Preços_MGS!$A$6:$AN$238,36,FALSE)</f>
        <v>7.0000000000000007E-2</v>
      </c>
      <c r="AF456" s="40">
        <f>(U456+W456+Z456+AB456+AD456+AA456+VLOOKUP(C456,[1]apoio_Prec_Folha!$A:$S,7,FALSE))*AE456</f>
        <v>414.84162433450757</v>
      </c>
      <c r="AG456" s="40">
        <f t="shared" si="240"/>
        <v>5792.56</v>
      </c>
      <c r="AH456" s="43">
        <f t="shared" si="241"/>
        <v>6601.2</v>
      </c>
      <c r="AI456" s="43">
        <f t="shared" si="242"/>
        <v>244244.4</v>
      </c>
      <c r="AJ456" s="43">
        <f t="shared" si="243"/>
        <v>14654664</v>
      </c>
      <c r="AK456" s="44">
        <f>VLOOKUP(D456,[1]apoio_Preços_MGS!$A$6:$AN$238,39,FALSE)</f>
        <v>200.00000000000003</v>
      </c>
      <c r="AL456" s="44">
        <f>IF(J456="demais municípios",VLOOKUP(D456,[1]apoio_Preços_MGS!$A$6:$AN$238,39,FALSE),0)</f>
        <v>200.00000000000003</v>
      </c>
      <c r="AM456" s="44">
        <v>0</v>
      </c>
      <c r="AN456" s="45">
        <f t="shared" si="251"/>
        <v>7400.0000000000009</v>
      </c>
      <c r="AO456" s="44">
        <f>VLOOKUP(D456,[1]apoio_Preços_MGS!$A$6:$AN$238,40,FALSE)</f>
        <v>648.33000000000004</v>
      </c>
      <c r="AP456" s="44">
        <f>IF(J456="demais municípios",VLOOKUP(D456,[1]apoio_Preços_MGS!$A$6:$AN$238,40,FALSE),0)</f>
        <v>648.33000000000004</v>
      </c>
      <c r="AQ456" s="44">
        <v>0</v>
      </c>
      <c r="AR456" s="45">
        <f t="shared" si="252"/>
        <v>23988.210000000003</v>
      </c>
      <c r="AS456" s="45">
        <f t="shared" si="220"/>
        <v>31388.210000000003</v>
      </c>
      <c r="AT456" s="45">
        <f t="shared" si="221"/>
        <v>1883292.6</v>
      </c>
      <c r="AU456" s="62"/>
      <c r="AV456" s="46"/>
      <c r="AW456" s="47"/>
      <c r="AX456" s="48"/>
      <c r="AY456" s="49"/>
      <c r="BA456" s="48"/>
    </row>
    <row r="457" spans="1:53" ht="19.5" customHeight="1" x14ac:dyDescent="0.25">
      <c r="A457" s="33" t="str">
        <f t="shared" si="253"/>
        <v>106348440,035</v>
      </c>
      <c r="B457" s="33" t="str">
        <f t="shared" si="254"/>
        <v>3940,035</v>
      </c>
      <c r="C457" s="34" t="str">
        <f>VLOOKUP(D457,[1]apoio_Preços_MGS!$A$6:$B$238,2,FALSE)</f>
        <v>ORIENTADOR AMBIENTAL</v>
      </c>
      <c r="D457" s="35">
        <v>394</v>
      </c>
      <c r="E457" s="33" t="str">
        <f>VLOOKUP(D457,[1]apoio_Preços_MGS!$A$6:$F$238,6,FALSE)</f>
        <v>ORIENTADOR AMBIENTAL - DIARISTA DIURNO - 44H</v>
      </c>
      <c r="F457" s="36">
        <f>IFERROR(VLOOKUP(D457,'[1]apoio_cód catmas'!$B$2:$C$863,2,FALSE),0)</f>
        <v>106348</v>
      </c>
      <c r="G457" s="33" t="str">
        <f>IF(H457="N/A",VLOOKUP(F457&amp;40,'[1]apoio_cód catmas'!$A$1:$G$233,4,FALSE),VLOOKUP(F457&amp;H457,'[1]apoio_cód catmas'!$A$1:$G$233,4,FALSE))</f>
        <v>ORIENTADOR AMBIENTAL  - 44 HORAS</v>
      </c>
      <c r="H457" s="36">
        <v>44</v>
      </c>
      <c r="I457" s="37">
        <v>3.5000000000000003E-2</v>
      </c>
      <c r="J457" s="38" t="s">
        <v>46</v>
      </c>
      <c r="K457" s="39">
        <v>4</v>
      </c>
      <c r="L457" s="39">
        <f t="shared" si="238"/>
        <v>240</v>
      </c>
      <c r="M457" s="40">
        <f>VLOOKUP(D457,[1]apoio_Preços_MGS!$A$6:$AN$238,18,FALSE)</f>
        <v>2678.9096391666685</v>
      </c>
      <c r="N457" s="40">
        <f>VLOOKUP(D457,[1]apoio_Preços_MGS!$A$6:$AN$238,19,FALSE)</f>
        <v>0</v>
      </c>
      <c r="O457" s="40">
        <f>VLOOKUP(D457,[1]apoio_Preços_MGS!$A$6:$AN$238,20,FALSE)</f>
        <v>0</v>
      </c>
      <c r="P457" s="40">
        <f>VLOOKUP(D457,[1]apoio_Preços_MGS!$A$6:$AN$238,21,FALSE)</f>
        <v>0</v>
      </c>
      <c r="Q457" s="40">
        <f>VLOOKUP(D457,[1]apoio_Preços_MGS!$A$6:$AN$238,22,FALSE)</f>
        <v>0</v>
      </c>
      <c r="R457" s="40">
        <f>VLOOKUP(D457,[1]apoio_Preços_MGS!$A$6:$AN$238,23,FALSE)</f>
        <v>0</v>
      </c>
      <c r="S457" s="40">
        <f>VLOOKUP(D457,[1]apoio_Preços_MGS!$A$6:$AN$238,24,FALSE)</f>
        <v>0</v>
      </c>
      <c r="T457" s="40">
        <f>VLOOKUP(D457,[1]apoio_Preços_MGS!$A$6:$AN$238,25,FALSE)</f>
        <v>0</v>
      </c>
      <c r="U457" s="40">
        <f t="shared" si="247"/>
        <v>2678.9096391666685</v>
      </c>
      <c r="V457" s="41">
        <v>0.81799999999999995</v>
      </c>
      <c r="W457" s="40">
        <f t="shared" si="248"/>
        <v>2191.3480848383347</v>
      </c>
      <c r="X457" s="40">
        <f>VLOOKUP(D457,[1]apoio_Preços_MGS!$A$6:$AN$238,29,FALSE)</f>
        <v>30.014545454545452</v>
      </c>
      <c r="Y457" s="40">
        <f>VLOOKUP(D457,[1]apoio_Preços_MGS!$A$6:$AN$238,30,FALSE)</f>
        <v>237.42725420875416</v>
      </c>
      <c r="Z457" s="40">
        <f t="shared" si="239"/>
        <v>267.44179966329961</v>
      </c>
      <c r="AA457" s="40">
        <f>VLOOKUP(D457,[1]apoio_Preços_MGS!$A$6:$AN$238,32,FALSE)</f>
        <v>5.1435065072000032</v>
      </c>
      <c r="AB457" s="40">
        <f>VLOOKUP(D457,[1]apoio_Preços_MGS!$A$6:$AN$238,33,FALSE)</f>
        <v>234.87788888888895</v>
      </c>
      <c r="AC457" s="41">
        <f>VLOOKUP(D457,[1]apoio_Preços_MGS!$A$6:$AN$238,34,FALSE)</f>
        <v>0</v>
      </c>
      <c r="AD457" s="40">
        <f>(U457+W457+Z457+AB457+AA457+VLOOKUP(C457,[1]apoio_Prec_Folha!$A:$S,7,FALSE))*AC457</f>
        <v>0</v>
      </c>
      <c r="AE457" s="42">
        <f>VLOOKUP(D457,[1]apoio_Preços_MGS!$A$6:$AN$238,36,FALSE)</f>
        <v>7.0000000000000007E-2</v>
      </c>
      <c r="AF457" s="40">
        <f>(U457+W457+Z457+AB457+AD457+AA457+VLOOKUP(C457,[1]apoio_Prec_Folha!$A:$S,7,FALSE))*AE457</f>
        <v>414.84162433450757</v>
      </c>
      <c r="AG457" s="40">
        <f t="shared" si="240"/>
        <v>5792.56</v>
      </c>
      <c r="AH457" s="43">
        <f t="shared" si="241"/>
        <v>6639.02</v>
      </c>
      <c r="AI457" s="43">
        <f t="shared" si="242"/>
        <v>26556.080000000002</v>
      </c>
      <c r="AJ457" s="43">
        <f t="shared" si="243"/>
        <v>1593364.8</v>
      </c>
      <c r="AK457" s="44">
        <f>VLOOKUP(D457,[1]apoio_Preços_MGS!$A$6:$AN$238,39,FALSE)</f>
        <v>200.00000000000003</v>
      </c>
      <c r="AL457" s="44">
        <f>IF(J457="demais municípios",VLOOKUP(D457,[1]apoio_Preços_MGS!$A$6:$AN$238,39,FALSE),0)</f>
        <v>200.00000000000003</v>
      </c>
      <c r="AM457" s="44">
        <v>0</v>
      </c>
      <c r="AN457" s="45">
        <f t="shared" si="251"/>
        <v>800.00000000000011</v>
      </c>
      <c r="AO457" s="44">
        <f>VLOOKUP(D457,[1]apoio_Preços_MGS!$A$6:$AN$238,40,FALSE)</f>
        <v>648.33000000000004</v>
      </c>
      <c r="AP457" s="44">
        <f>IF(J457="demais municípios",VLOOKUP(D457,[1]apoio_Preços_MGS!$A$6:$AN$238,40,FALSE),0)</f>
        <v>648.33000000000004</v>
      </c>
      <c r="AQ457" s="44">
        <v>0</v>
      </c>
      <c r="AR457" s="45">
        <f t="shared" si="252"/>
        <v>2593.3200000000002</v>
      </c>
      <c r="AS457" s="45">
        <f t="shared" si="220"/>
        <v>3393.32</v>
      </c>
      <c r="AT457" s="45">
        <f t="shared" si="221"/>
        <v>203599.2</v>
      </c>
      <c r="AU457" s="62"/>
      <c r="AV457" s="46"/>
      <c r="AW457" s="47"/>
      <c r="AX457" s="48"/>
      <c r="AY457" s="49"/>
      <c r="BA457" s="48"/>
    </row>
    <row r="458" spans="1:53" ht="19.5" customHeight="1" x14ac:dyDescent="0.25">
      <c r="A458" s="33" t="str">
        <f t="shared" si="253"/>
        <v>106348440,04</v>
      </c>
      <c r="B458" s="33" t="str">
        <f t="shared" si="254"/>
        <v>3940,04</v>
      </c>
      <c r="C458" s="34" t="str">
        <f>VLOOKUP(D458,[1]apoio_Preços_MGS!$A$6:$B$238,2,FALSE)</f>
        <v>ORIENTADOR AMBIENTAL</v>
      </c>
      <c r="D458" s="35">
        <v>394</v>
      </c>
      <c r="E458" s="33" t="str">
        <f>VLOOKUP(D458,[1]apoio_Preços_MGS!$A$6:$F$238,6,FALSE)</f>
        <v>ORIENTADOR AMBIENTAL - DIARISTA DIURNO - 44H</v>
      </c>
      <c r="F458" s="36">
        <f>IFERROR(VLOOKUP(D458,'[1]apoio_cód catmas'!$B$2:$C$863,2,FALSE),0)</f>
        <v>106348</v>
      </c>
      <c r="G458" s="33" t="str">
        <f>IF(H458="N/A",VLOOKUP(F458&amp;40,'[1]apoio_cód catmas'!$A$1:$G$233,4,FALSE),VLOOKUP(F458&amp;H458,'[1]apoio_cód catmas'!$A$1:$G$233,4,FALSE))</f>
        <v>ORIENTADOR AMBIENTAL  - 44 HORAS</v>
      </c>
      <c r="H458" s="36">
        <v>44</v>
      </c>
      <c r="I458" s="37">
        <v>0.04</v>
      </c>
      <c r="J458" s="38" t="s">
        <v>46</v>
      </c>
      <c r="K458" s="39">
        <v>4</v>
      </c>
      <c r="L458" s="39">
        <f t="shared" si="238"/>
        <v>240</v>
      </c>
      <c r="M458" s="40">
        <f>VLOOKUP(D458,[1]apoio_Preços_MGS!$A$6:$AN$238,18,FALSE)</f>
        <v>2678.9096391666685</v>
      </c>
      <c r="N458" s="40">
        <f>VLOOKUP(D458,[1]apoio_Preços_MGS!$A$6:$AN$238,19,FALSE)</f>
        <v>0</v>
      </c>
      <c r="O458" s="40">
        <f>VLOOKUP(D458,[1]apoio_Preços_MGS!$A$6:$AN$238,20,FALSE)</f>
        <v>0</v>
      </c>
      <c r="P458" s="40">
        <f>VLOOKUP(D458,[1]apoio_Preços_MGS!$A$6:$AN$238,21,FALSE)</f>
        <v>0</v>
      </c>
      <c r="Q458" s="40">
        <f>VLOOKUP(D458,[1]apoio_Preços_MGS!$A$6:$AN$238,22,FALSE)</f>
        <v>0</v>
      </c>
      <c r="R458" s="40">
        <f>VLOOKUP(D458,[1]apoio_Preços_MGS!$A$6:$AN$238,23,FALSE)</f>
        <v>0</v>
      </c>
      <c r="S458" s="40">
        <f>VLOOKUP(D458,[1]apoio_Preços_MGS!$A$6:$AN$238,24,FALSE)</f>
        <v>0</v>
      </c>
      <c r="T458" s="40">
        <f>VLOOKUP(D458,[1]apoio_Preços_MGS!$A$6:$AN$238,25,FALSE)</f>
        <v>0</v>
      </c>
      <c r="U458" s="40">
        <f t="shared" si="247"/>
        <v>2678.9096391666685</v>
      </c>
      <c r="V458" s="41">
        <v>0.81799999999999995</v>
      </c>
      <c r="W458" s="40">
        <f t="shared" si="248"/>
        <v>2191.3480848383347</v>
      </c>
      <c r="X458" s="40">
        <f>VLOOKUP(D458,[1]apoio_Preços_MGS!$A$6:$AN$238,29,FALSE)</f>
        <v>30.014545454545452</v>
      </c>
      <c r="Y458" s="40">
        <f>VLOOKUP(D458,[1]apoio_Preços_MGS!$A$6:$AN$238,30,FALSE)</f>
        <v>237.42725420875416</v>
      </c>
      <c r="Z458" s="40">
        <f t="shared" si="239"/>
        <v>267.44179966329961</v>
      </c>
      <c r="AA458" s="40">
        <f>VLOOKUP(D458,[1]apoio_Preços_MGS!$A$6:$AN$238,32,FALSE)</f>
        <v>5.1435065072000032</v>
      </c>
      <c r="AB458" s="40">
        <f>VLOOKUP(D458,[1]apoio_Preços_MGS!$A$6:$AN$238,33,FALSE)</f>
        <v>234.87788888888895</v>
      </c>
      <c r="AC458" s="41">
        <f>VLOOKUP(D458,[1]apoio_Preços_MGS!$A$6:$AN$238,34,FALSE)</f>
        <v>0</v>
      </c>
      <c r="AD458" s="40">
        <f>(U458+W458+Z458+AB458+AA458+VLOOKUP(C458,[1]apoio_Prec_Folha!$A:$S,7,FALSE))*AC458</f>
        <v>0</v>
      </c>
      <c r="AE458" s="42">
        <f>VLOOKUP(D458,[1]apoio_Preços_MGS!$A$6:$AN$238,36,FALSE)</f>
        <v>7.0000000000000007E-2</v>
      </c>
      <c r="AF458" s="40">
        <f>(U458+W458+Z458+AB458+AD458+AA458+VLOOKUP(C458,[1]apoio_Prec_Folha!$A:$S,7,FALSE))*AE458</f>
        <v>414.84162433450757</v>
      </c>
      <c r="AG458" s="40">
        <f t="shared" si="240"/>
        <v>5792.56</v>
      </c>
      <c r="AH458" s="43">
        <f t="shared" si="241"/>
        <v>6677.31</v>
      </c>
      <c r="AI458" s="43">
        <f t="shared" si="242"/>
        <v>26709.24</v>
      </c>
      <c r="AJ458" s="43">
        <f t="shared" si="243"/>
        <v>1602554.4000000001</v>
      </c>
      <c r="AK458" s="44">
        <f>VLOOKUP(D458,[1]apoio_Preços_MGS!$A$6:$AN$238,39,FALSE)</f>
        <v>200.00000000000003</v>
      </c>
      <c r="AL458" s="44">
        <f>IF(J458="demais municípios",VLOOKUP(D458,[1]apoio_Preços_MGS!$A$6:$AN$238,39,FALSE),0)</f>
        <v>200.00000000000003</v>
      </c>
      <c r="AM458" s="44">
        <v>0</v>
      </c>
      <c r="AN458" s="45">
        <f t="shared" si="251"/>
        <v>800.00000000000011</v>
      </c>
      <c r="AO458" s="44">
        <f>VLOOKUP(D458,[1]apoio_Preços_MGS!$A$6:$AN$238,40,FALSE)</f>
        <v>648.33000000000004</v>
      </c>
      <c r="AP458" s="44">
        <f>IF(J458="demais municípios",VLOOKUP(D458,[1]apoio_Preços_MGS!$A$6:$AN$238,40,FALSE),0)</f>
        <v>648.33000000000004</v>
      </c>
      <c r="AQ458" s="44">
        <v>0</v>
      </c>
      <c r="AR458" s="45">
        <f t="shared" si="252"/>
        <v>2593.3200000000002</v>
      </c>
      <c r="AS458" s="45">
        <f t="shared" ref="AS458:AS521" si="255">AN458+AR458</f>
        <v>3393.32</v>
      </c>
      <c r="AT458" s="45">
        <f t="shared" si="221"/>
        <v>203599.2</v>
      </c>
      <c r="AU458" s="62"/>
      <c r="AV458" s="46"/>
      <c r="AW458" s="47"/>
      <c r="AX458" s="48"/>
      <c r="AY458" s="49"/>
      <c r="BA458" s="48"/>
    </row>
    <row r="459" spans="1:53" ht="19.5" customHeight="1" x14ac:dyDescent="0.25">
      <c r="A459" s="33" t="str">
        <f t="shared" si="253"/>
        <v>106348440,05</v>
      </c>
      <c r="B459" s="33" t="str">
        <f t="shared" si="254"/>
        <v>3940,05</v>
      </c>
      <c r="C459" s="34" t="str">
        <f>VLOOKUP(D459,[1]apoio_Preços_MGS!$A$6:$B$238,2,FALSE)</f>
        <v>ORIENTADOR AMBIENTAL</v>
      </c>
      <c r="D459" s="35">
        <v>394</v>
      </c>
      <c r="E459" s="33" t="str">
        <f>VLOOKUP(D459,[1]apoio_Preços_MGS!$A$6:$F$238,6,FALSE)</f>
        <v>ORIENTADOR AMBIENTAL - DIARISTA DIURNO - 44H</v>
      </c>
      <c r="F459" s="36">
        <f>IFERROR(VLOOKUP(D459,'[1]apoio_cód catmas'!$B$2:$C$863,2,FALSE),0)</f>
        <v>106348</v>
      </c>
      <c r="G459" s="33" t="str">
        <f>IF(H459="N/A",VLOOKUP(F459&amp;40,'[1]apoio_cód catmas'!$A$1:$G$233,4,FALSE),VLOOKUP(F459&amp;H459,'[1]apoio_cód catmas'!$A$1:$G$233,4,FALSE))</f>
        <v>ORIENTADOR AMBIENTAL  - 44 HORAS</v>
      </c>
      <c r="H459" s="36">
        <v>44</v>
      </c>
      <c r="I459" s="37">
        <v>0.05</v>
      </c>
      <c r="J459" s="38" t="s">
        <v>46</v>
      </c>
      <c r="K459" s="39">
        <v>1</v>
      </c>
      <c r="L459" s="39">
        <f>K459*56</f>
        <v>56</v>
      </c>
      <c r="M459" s="40">
        <f>VLOOKUP(D459,[1]apoio_Preços_MGS!$A$6:$AN$238,18,FALSE)</f>
        <v>2678.9096391666685</v>
      </c>
      <c r="N459" s="40">
        <f>VLOOKUP(D459,[1]apoio_Preços_MGS!$A$6:$AN$238,19,FALSE)</f>
        <v>0</v>
      </c>
      <c r="O459" s="40">
        <f>VLOOKUP(D459,[1]apoio_Preços_MGS!$A$6:$AN$238,20,FALSE)</f>
        <v>0</v>
      </c>
      <c r="P459" s="40">
        <f>VLOOKUP(D459,[1]apoio_Preços_MGS!$A$6:$AN$238,21,FALSE)</f>
        <v>0</v>
      </c>
      <c r="Q459" s="40">
        <f>VLOOKUP(D459,[1]apoio_Preços_MGS!$A$6:$AN$238,22,FALSE)</f>
        <v>0</v>
      </c>
      <c r="R459" s="40">
        <f>VLOOKUP(D459,[1]apoio_Preços_MGS!$A$6:$AN$238,23,FALSE)</f>
        <v>0</v>
      </c>
      <c r="S459" s="40">
        <f>VLOOKUP(D459,[1]apoio_Preços_MGS!$A$6:$AN$238,24,FALSE)</f>
        <v>0</v>
      </c>
      <c r="T459" s="40">
        <f>VLOOKUP(D459,[1]apoio_Preços_MGS!$A$6:$AN$238,25,FALSE)</f>
        <v>0</v>
      </c>
      <c r="U459" s="40">
        <f t="shared" si="247"/>
        <v>2678.9096391666685</v>
      </c>
      <c r="V459" s="41">
        <v>0.81799999999999995</v>
      </c>
      <c r="W459" s="40">
        <f t="shared" si="248"/>
        <v>2191.3480848383347</v>
      </c>
      <c r="X459" s="40">
        <f>VLOOKUP(D459,[1]apoio_Preços_MGS!$A$6:$AN$238,29,FALSE)</f>
        <v>30.014545454545452</v>
      </c>
      <c r="Y459" s="40">
        <f>VLOOKUP(D459,[1]apoio_Preços_MGS!$A$6:$AN$238,30,FALSE)</f>
        <v>237.42725420875416</v>
      </c>
      <c r="Z459" s="40">
        <f t="shared" si="239"/>
        <v>267.44179966329961</v>
      </c>
      <c r="AA459" s="40">
        <f>VLOOKUP(D459,[1]apoio_Preços_MGS!$A$6:$AN$238,32,FALSE)</f>
        <v>5.1435065072000032</v>
      </c>
      <c r="AB459" s="40">
        <f>VLOOKUP(D459,[1]apoio_Preços_MGS!$A$6:$AN$238,33,FALSE)</f>
        <v>234.87788888888895</v>
      </c>
      <c r="AC459" s="41">
        <f>VLOOKUP(D459,[1]apoio_Preços_MGS!$A$6:$AN$238,34,FALSE)</f>
        <v>0</v>
      </c>
      <c r="AD459" s="40">
        <f>(U459+W459+Z459+AB459+AA459+VLOOKUP(C459,[1]apoio_Prec_Folha!$A:$S,7,FALSE))*AC459</f>
        <v>0</v>
      </c>
      <c r="AE459" s="42">
        <f>VLOOKUP(D459,[1]apoio_Preços_MGS!$A$6:$AN$238,36,FALSE)</f>
        <v>7.0000000000000007E-2</v>
      </c>
      <c r="AF459" s="40">
        <f>(U459+W459+Z459+AB459+AD459+AA459+VLOOKUP(C459,[1]apoio_Prec_Folha!$A:$S,7,FALSE))*AE459</f>
        <v>414.84162433450757</v>
      </c>
      <c r="AG459" s="40">
        <f t="shared" si="240"/>
        <v>5792.56</v>
      </c>
      <c r="AH459" s="43">
        <f t="shared" si="241"/>
        <v>6755.16</v>
      </c>
      <c r="AI459" s="43">
        <f t="shared" si="242"/>
        <v>6755.16</v>
      </c>
      <c r="AJ459" s="43">
        <f t="shared" si="243"/>
        <v>378288.95999999996</v>
      </c>
      <c r="AK459" s="44">
        <f>VLOOKUP(D459,[1]apoio_Preços_MGS!$A$6:$AN$238,39,FALSE)</f>
        <v>200.00000000000003</v>
      </c>
      <c r="AL459" s="44">
        <f>IF(J459="demais municípios",VLOOKUP(D459,[1]apoio_Preços_MGS!$A$6:$AN$238,39,FALSE),0)</f>
        <v>200.00000000000003</v>
      </c>
      <c r="AM459" s="44">
        <v>0</v>
      </c>
      <c r="AN459" s="45">
        <f t="shared" si="251"/>
        <v>200.00000000000003</v>
      </c>
      <c r="AO459" s="44">
        <f>VLOOKUP(D459,[1]apoio_Preços_MGS!$A$6:$AN$238,40,FALSE)</f>
        <v>648.33000000000004</v>
      </c>
      <c r="AP459" s="44">
        <f>IF(J459="demais municípios",VLOOKUP(D459,[1]apoio_Preços_MGS!$A$6:$AN$238,40,FALSE),0)</f>
        <v>648.33000000000004</v>
      </c>
      <c r="AQ459" s="44">
        <v>0</v>
      </c>
      <c r="AR459" s="45">
        <f t="shared" si="252"/>
        <v>648.33000000000004</v>
      </c>
      <c r="AS459" s="45">
        <f t="shared" si="255"/>
        <v>848.33</v>
      </c>
      <c r="AT459" s="45">
        <f t="shared" ref="AT459:AT522" si="256">(AN459+AR459)*60</f>
        <v>50899.8</v>
      </c>
      <c r="AU459" s="62"/>
      <c r="AV459" s="46"/>
      <c r="AW459" s="47"/>
      <c r="AX459" s="48"/>
      <c r="AY459" s="49"/>
      <c r="BA459" s="48"/>
    </row>
    <row r="460" spans="1:53" ht="19.5" customHeight="1" x14ac:dyDescent="0.25">
      <c r="A460" s="33" t="str">
        <f t="shared" si="253"/>
        <v>106348440,05</v>
      </c>
      <c r="B460" s="33" t="str">
        <f t="shared" si="254"/>
        <v>3940,05</v>
      </c>
      <c r="C460" s="34" t="str">
        <f>VLOOKUP(D460,[1]apoio_Preços_MGS!$A$6:$B$238,2,FALSE)</f>
        <v>ORIENTADOR AMBIENTAL</v>
      </c>
      <c r="D460" s="35">
        <v>394</v>
      </c>
      <c r="E460" s="33" t="str">
        <f>VLOOKUP(D460,[1]apoio_Preços_MGS!$A$6:$F$238,6,FALSE)</f>
        <v>ORIENTADOR AMBIENTAL - DIARISTA DIURNO - 44H</v>
      </c>
      <c r="F460" s="36">
        <f>IFERROR(VLOOKUP(D460,'[1]apoio_cód catmas'!$B$2:$C$863,2,FALSE),0)</f>
        <v>106348</v>
      </c>
      <c r="G460" s="33" t="str">
        <f>IF(H460="N/A",VLOOKUP(F460&amp;40,'[1]apoio_cód catmas'!$A$1:$G$233,4,FALSE),VLOOKUP(F460&amp;H460,'[1]apoio_cód catmas'!$A$1:$G$233,4,FALSE))</f>
        <v>ORIENTADOR AMBIENTAL  - 44 HORAS</v>
      </c>
      <c r="H460" s="36">
        <v>44</v>
      </c>
      <c r="I460" s="37">
        <v>0.05</v>
      </c>
      <c r="J460" s="38" t="s">
        <v>46</v>
      </c>
      <c r="K460" s="39">
        <f>23-K461</f>
        <v>13</v>
      </c>
      <c r="L460" s="39">
        <f t="shared" si="238"/>
        <v>780</v>
      </c>
      <c r="M460" s="40">
        <f>VLOOKUP(D460,[1]apoio_Preços_MGS!$A$6:$AN$238,18,FALSE)</f>
        <v>2678.9096391666685</v>
      </c>
      <c r="N460" s="40">
        <f>VLOOKUP(D460,[1]apoio_Preços_MGS!$A$6:$AN$238,19,FALSE)</f>
        <v>0</v>
      </c>
      <c r="O460" s="40">
        <f>VLOOKUP(D460,[1]apoio_Preços_MGS!$A$6:$AN$238,20,FALSE)</f>
        <v>0</v>
      </c>
      <c r="P460" s="40">
        <f>VLOOKUP(D460,[1]apoio_Preços_MGS!$A$6:$AN$238,21,FALSE)</f>
        <v>0</v>
      </c>
      <c r="Q460" s="40">
        <f>VLOOKUP(D460,[1]apoio_Preços_MGS!$A$6:$AN$238,22,FALSE)</f>
        <v>0</v>
      </c>
      <c r="R460" s="40">
        <f>VLOOKUP(D460,[1]apoio_Preços_MGS!$A$6:$AN$238,23,FALSE)</f>
        <v>0</v>
      </c>
      <c r="S460" s="40">
        <f>VLOOKUP(D460,[1]apoio_Preços_MGS!$A$6:$AN$238,24,FALSE)</f>
        <v>0</v>
      </c>
      <c r="T460" s="40">
        <f>VLOOKUP(D460,[1]apoio_Preços_MGS!$A$6:$AN$238,25,FALSE)</f>
        <v>0</v>
      </c>
      <c r="U460" s="40">
        <f t="shared" si="247"/>
        <v>2678.9096391666685</v>
      </c>
      <c r="V460" s="41">
        <v>0.81799999999999995</v>
      </c>
      <c r="W460" s="40">
        <f t="shared" si="248"/>
        <v>2191.3480848383347</v>
      </c>
      <c r="X460" s="40">
        <f>VLOOKUP(D460,[1]apoio_Preços_MGS!$A$6:$AN$238,29,FALSE)</f>
        <v>30.014545454545452</v>
      </c>
      <c r="Y460" s="40">
        <f>VLOOKUP(D460,[1]apoio_Preços_MGS!$A$6:$AN$238,30,FALSE)</f>
        <v>237.42725420875416</v>
      </c>
      <c r="Z460" s="40">
        <f t="shared" si="239"/>
        <v>267.44179966329961</v>
      </c>
      <c r="AA460" s="40">
        <f>VLOOKUP(D460,[1]apoio_Preços_MGS!$A$6:$AN$238,32,FALSE)</f>
        <v>5.1435065072000032</v>
      </c>
      <c r="AB460" s="40">
        <f>VLOOKUP(D460,[1]apoio_Preços_MGS!$A$6:$AN$238,33,FALSE)</f>
        <v>234.87788888888895</v>
      </c>
      <c r="AC460" s="41">
        <f>VLOOKUP(D460,[1]apoio_Preços_MGS!$A$6:$AN$238,34,FALSE)</f>
        <v>0</v>
      </c>
      <c r="AD460" s="40">
        <f>(U460+W460+Z460+AB460+AA460+VLOOKUP(C460,[1]apoio_Prec_Folha!$A:$S,7,FALSE))*AC460</f>
        <v>0</v>
      </c>
      <c r="AE460" s="42">
        <f>VLOOKUP(D460,[1]apoio_Preços_MGS!$A$6:$AN$238,36,FALSE)</f>
        <v>7.0000000000000007E-2</v>
      </c>
      <c r="AF460" s="40">
        <f>(U460+W460+Z460+AB460+AD460+AA460+VLOOKUP(C460,[1]apoio_Prec_Folha!$A:$S,7,FALSE))*AE460</f>
        <v>414.84162433450757</v>
      </c>
      <c r="AG460" s="40">
        <f t="shared" si="240"/>
        <v>5792.56</v>
      </c>
      <c r="AH460" s="43">
        <f t="shared" si="241"/>
        <v>6755.16</v>
      </c>
      <c r="AI460" s="43">
        <f t="shared" si="242"/>
        <v>87817.08</v>
      </c>
      <c r="AJ460" s="43">
        <f t="shared" si="243"/>
        <v>5269024.8</v>
      </c>
      <c r="AK460" s="44">
        <f>VLOOKUP(D460,[1]apoio_Preços_MGS!$A$6:$AN$238,39,FALSE)</f>
        <v>200.00000000000003</v>
      </c>
      <c r="AL460" s="44">
        <f>IF(J460="demais municípios",VLOOKUP(D460,[1]apoio_Preços_MGS!$A$6:$AN$238,39,FALSE),0)</f>
        <v>200.00000000000003</v>
      </c>
      <c r="AM460" s="44">
        <v>0</v>
      </c>
      <c r="AN460" s="45">
        <f t="shared" si="251"/>
        <v>2600.0000000000005</v>
      </c>
      <c r="AO460" s="44">
        <f>VLOOKUP(D460,[1]apoio_Preços_MGS!$A$6:$AN$238,40,FALSE)</f>
        <v>648.33000000000004</v>
      </c>
      <c r="AP460" s="44">
        <f>IF(J460="demais municípios",VLOOKUP(D460,[1]apoio_Preços_MGS!$A$6:$AN$238,40,FALSE),0)</f>
        <v>648.33000000000004</v>
      </c>
      <c r="AQ460" s="44">
        <v>0</v>
      </c>
      <c r="AR460" s="45">
        <f t="shared" si="252"/>
        <v>8428.2900000000009</v>
      </c>
      <c r="AS460" s="45">
        <f t="shared" si="255"/>
        <v>11028.29</v>
      </c>
      <c r="AT460" s="45">
        <f t="shared" si="256"/>
        <v>661697.4</v>
      </c>
      <c r="AU460" s="62"/>
      <c r="AV460" s="46"/>
      <c r="AW460" s="47"/>
      <c r="AX460" s="48"/>
      <c r="AY460" s="49"/>
      <c r="BA460" s="48"/>
    </row>
    <row r="461" spans="1:53" ht="19.5" customHeight="1" x14ac:dyDescent="0.25">
      <c r="A461" s="33" t="str">
        <f t="shared" si="253"/>
        <v>106348440,05</v>
      </c>
      <c r="B461" s="33" t="str">
        <f t="shared" si="254"/>
        <v>3940,05</v>
      </c>
      <c r="C461" s="34" t="str">
        <f>VLOOKUP(D461,[1]apoio_Preços_MGS!$A$6:$B$238,2,FALSE)</f>
        <v>ORIENTADOR AMBIENTAL</v>
      </c>
      <c r="D461" s="35">
        <v>394</v>
      </c>
      <c r="E461" s="33" t="str">
        <f>VLOOKUP(D461,[1]apoio_Preços_MGS!$A$6:$F$238,6,FALSE)</f>
        <v>ORIENTADOR AMBIENTAL - DIARISTA DIURNO - 44H</v>
      </c>
      <c r="F461" s="36">
        <f>IFERROR(VLOOKUP(D461,'[1]apoio_cód catmas'!$B$2:$C$863,2,FALSE),0)</f>
        <v>106348</v>
      </c>
      <c r="G461" s="33" t="str">
        <f>IF(H461="N/A",VLOOKUP(F461&amp;40,'[1]apoio_cód catmas'!$A$1:$G$233,4,FALSE),VLOOKUP(F461&amp;H461,'[1]apoio_cód catmas'!$A$1:$G$233,4,FALSE))</f>
        <v>ORIENTADOR AMBIENTAL  - 44 HORAS</v>
      </c>
      <c r="H461" s="36">
        <v>44</v>
      </c>
      <c r="I461" s="37">
        <v>0.05</v>
      </c>
      <c r="J461" s="38" t="s">
        <v>47</v>
      </c>
      <c r="K461" s="39">
        <v>10</v>
      </c>
      <c r="L461" s="39">
        <f t="shared" si="238"/>
        <v>600</v>
      </c>
      <c r="M461" s="40">
        <f>VLOOKUP(D461,[1]apoio_Preços_MGS!$A$6:$AN$238,18,FALSE)</f>
        <v>2678.9096391666685</v>
      </c>
      <c r="N461" s="40">
        <f>VLOOKUP(D461,[1]apoio_Preços_MGS!$A$6:$AN$238,19,FALSE)</f>
        <v>0</v>
      </c>
      <c r="O461" s="40">
        <f>VLOOKUP(D461,[1]apoio_Preços_MGS!$A$6:$AN$238,20,FALSE)</f>
        <v>0</v>
      </c>
      <c r="P461" s="40">
        <f>VLOOKUP(D461,[1]apoio_Preços_MGS!$A$6:$AN$238,21,FALSE)</f>
        <v>0</v>
      </c>
      <c r="Q461" s="40">
        <f>VLOOKUP(D461,[1]apoio_Preços_MGS!$A$6:$AN$238,22,FALSE)</f>
        <v>0</v>
      </c>
      <c r="R461" s="40">
        <f>VLOOKUP(D461,[1]apoio_Preços_MGS!$A$6:$AN$238,23,FALSE)</f>
        <v>0</v>
      </c>
      <c r="S461" s="40">
        <f>VLOOKUP(D461,[1]apoio_Preços_MGS!$A$6:$AN$238,24,FALSE)</f>
        <v>0</v>
      </c>
      <c r="T461" s="40">
        <f>VLOOKUP(D461,[1]apoio_Preços_MGS!$A$6:$AN$238,25,FALSE)</f>
        <v>0</v>
      </c>
      <c r="U461" s="40">
        <f t="shared" si="247"/>
        <v>2678.9096391666685</v>
      </c>
      <c r="V461" s="41">
        <v>0.81799999999999995</v>
      </c>
      <c r="W461" s="40">
        <f t="shared" si="248"/>
        <v>2191.3480848383347</v>
      </c>
      <c r="X461" s="40">
        <f>VLOOKUP(D461,[1]apoio_Preços_MGS!$A$6:$AN$238,29,FALSE)</f>
        <v>30.014545454545452</v>
      </c>
      <c r="Y461" s="40">
        <f>VLOOKUP(D461,[1]apoio_Preços_MGS!$A$6:$AN$238,30,FALSE)</f>
        <v>237.42725420875416</v>
      </c>
      <c r="Z461" s="40">
        <f t="shared" si="239"/>
        <v>267.44179966329961</v>
      </c>
      <c r="AA461" s="40">
        <f>VLOOKUP(D461,[1]apoio_Preços_MGS!$A$6:$AN$238,32,FALSE)</f>
        <v>5.1435065072000032</v>
      </c>
      <c r="AB461" s="40">
        <f>VLOOKUP(D461,[1]apoio_Preços_MGS!$A$6:$AN$238,33,FALSE)</f>
        <v>234.87788888888895</v>
      </c>
      <c r="AC461" s="41">
        <f>VLOOKUP(D461,[1]apoio_Preços_MGS!$A$6:$AN$238,34,FALSE)</f>
        <v>0</v>
      </c>
      <c r="AD461" s="40">
        <f>(U461+W461+Z461+AB461+AA461+VLOOKUP(C461,[1]apoio_Prec_Folha!$A:$S,7,FALSE))*AC461</f>
        <v>0</v>
      </c>
      <c r="AE461" s="42">
        <f>VLOOKUP(D461,[1]apoio_Preços_MGS!$A$6:$AN$238,36,FALSE)</f>
        <v>7.0000000000000007E-2</v>
      </c>
      <c r="AF461" s="40">
        <f>(U461+W461+Z461+AB461+AD461+AA461+VLOOKUP(C461,[1]apoio_Prec_Folha!$A:$S,7,FALSE))*AE461</f>
        <v>414.84162433450757</v>
      </c>
      <c r="AG461" s="40">
        <f t="shared" si="240"/>
        <v>5792.56</v>
      </c>
      <c r="AH461" s="43">
        <f t="shared" si="241"/>
        <v>6755.16</v>
      </c>
      <c r="AI461" s="43">
        <f t="shared" si="242"/>
        <v>67551.600000000006</v>
      </c>
      <c r="AJ461" s="43">
        <f t="shared" si="243"/>
        <v>4053096</v>
      </c>
      <c r="AK461" s="44">
        <f>VLOOKUP(D461,[1]apoio_Preços_MGS!$A$6:$AN$238,39,FALSE)</f>
        <v>200.00000000000003</v>
      </c>
      <c r="AL461" s="44">
        <f>IF(J461="demais municípios",VLOOKUP(D461,[1]apoio_Preços_MGS!$A$6:$AN$238,39,FALSE),0)</f>
        <v>0</v>
      </c>
      <c r="AM461" s="44">
        <f>TRUNC(ROUND(($I461)/(1-($I461)),5)*VLOOKUP(D461,[1]apoio_Preços_MGS!$A$6:$AN$238,39,FALSE)+VLOOKUP(D461,[1]apoio_Preços_MGS!$A$6:$AN$238,39,FALSE),2)</f>
        <v>210.52</v>
      </c>
      <c r="AN461" s="45">
        <f t="shared" ref="AN461:AN521" si="257">AM461*K461</f>
        <v>2105.2000000000003</v>
      </c>
      <c r="AO461" s="44">
        <f>VLOOKUP(D461,[1]apoio_Preços_MGS!$A$6:$AN$238,40,FALSE)</f>
        <v>648.33000000000004</v>
      </c>
      <c r="AP461" s="44">
        <f>IF(J461="demais municípios",VLOOKUP(D461,[1]apoio_Preços_MGS!$A$6:$AN$238,40,FALSE),0)</f>
        <v>0</v>
      </c>
      <c r="AQ461" s="44">
        <f>TRUNC(ROUND(($I461)/(1-($I461)),5)*VLOOKUP(D461,[1]apoio_Preços_MGS!$A$6:$AN$238,40,FALSE)+VLOOKUP(D461,[1]apoio_Preços_MGS!$A$6:$AN$238,40,FALSE),2)</f>
        <v>682.45</v>
      </c>
      <c r="AR461" s="45">
        <f t="shared" ref="AR461:AR521" si="258">AQ461*K461</f>
        <v>6824.5</v>
      </c>
      <c r="AS461" s="45">
        <f t="shared" si="255"/>
        <v>8929.7000000000007</v>
      </c>
      <c r="AT461" s="45">
        <f t="shared" si="256"/>
        <v>535782</v>
      </c>
      <c r="AU461" s="62"/>
      <c r="AV461" s="46"/>
      <c r="AW461" s="47"/>
      <c r="AX461" s="48"/>
      <c r="AY461" s="49"/>
      <c r="BA461" s="48"/>
    </row>
    <row r="462" spans="1:53" ht="19.5" customHeight="1" x14ac:dyDescent="0.25">
      <c r="A462" s="33" t="str">
        <f t="shared" si="253"/>
        <v>106356400,02</v>
      </c>
      <c r="B462" s="33" t="str">
        <f t="shared" si="254"/>
        <v>11800,02</v>
      </c>
      <c r="C462" s="34" t="str">
        <f>VLOOKUP(D462,[1]apoio_Preços_MGS!$A$6:$B$238,2,FALSE)</f>
        <v>ORIENTADOR AMBIENTAL</v>
      </c>
      <c r="D462" s="35">
        <v>1180</v>
      </c>
      <c r="E462" s="33" t="str">
        <f>VLOOKUP(D462,[1]apoio_Preços_MGS!$A$6:$F$238,6,FALSE)</f>
        <v>ORIENTADOR AMBIENTAL - (PERIC.) - DIARISTA DIURNO - 40H</v>
      </c>
      <c r="F462" s="36">
        <f>IFERROR(VLOOKUP(D462,'[1]apoio_cód catmas'!$B$2:$C$863,2,FALSE),0)</f>
        <v>106356</v>
      </c>
      <c r="G462" s="33" t="str">
        <f>IF(H462="N/A",VLOOKUP(F462&amp;40,'[1]apoio_cód catmas'!$A$1:$G$233,4,FALSE),VLOOKUP(F462&amp;H462,'[1]apoio_cód catmas'!$A$1:$G$233,4,FALSE))</f>
        <v>ORIENTADOR AMBIENTAL - (PERICULOSIDADE)- 40H e 44 H</v>
      </c>
      <c r="H462" s="36">
        <v>40</v>
      </c>
      <c r="I462" s="37">
        <v>0.02</v>
      </c>
      <c r="J462" s="38" t="s">
        <v>46</v>
      </c>
      <c r="K462" s="39">
        <v>1</v>
      </c>
      <c r="L462" s="39">
        <f t="shared" si="238"/>
        <v>60</v>
      </c>
      <c r="M462" s="40">
        <f>VLOOKUP(D462,[1]apoio_Preços_MGS!$A$6:$AN$238,18,FALSE)</f>
        <v>2435.3723992424261</v>
      </c>
      <c r="N462" s="40">
        <f>VLOOKUP(D462,[1]apoio_Preços_MGS!$A$6:$AN$238,19,FALSE)</f>
        <v>730.61171977272784</v>
      </c>
      <c r="O462" s="40">
        <f>VLOOKUP(D462,[1]apoio_Preços_MGS!$A$6:$AN$238,20,FALSE)</f>
        <v>0</v>
      </c>
      <c r="P462" s="40">
        <f>VLOOKUP(D462,[1]apoio_Preços_MGS!$A$6:$AN$238,21,FALSE)</f>
        <v>0</v>
      </c>
      <c r="Q462" s="40">
        <f>VLOOKUP(D462,[1]apoio_Preços_MGS!$A$6:$AN$238,22,FALSE)</f>
        <v>0</v>
      </c>
      <c r="R462" s="40">
        <f>VLOOKUP(D462,[1]apoio_Preços_MGS!$A$6:$AN$238,23,FALSE)</f>
        <v>0</v>
      </c>
      <c r="S462" s="40">
        <f>VLOOKUP(D462,[1]apoio_Preços_MGS!$A$6:$AN$238,24,FALSE)</f>
        <v>0</v>
      </c>
      <c r="T462" s="40">
        <f>VLOOKUP(D462,[1]apoio_Preços_MGS!$A$6:$AN$238,25,FALSE)</f>
        <v>0</v>
      </c>
      <c r="U462" s="40">
        <f t="shared" si="247"/>
        <v>3165.9841190151537</v>
      </c>
      <c r="V462" s="41">
        <v>0.81799999999999995</v>
      </c>
      <c r="W462" s="40">
        <f t="shared" si="248"/>
        <v>2589.7750093543955</v>
      </c>
      <c r="X462" s="40">
        <f>VLOOKUP(D462,[1]apoio_Preços_MGS!$A$6:$AN$238,29,FALSE)</f>
        <v>30.014545454545452</v>
      </c>
      <c r="Y462" s="40">
        <f>VLOOKUP(D462,[1]apoio_Preços_MGS!$A$6:$AN$238,30,FALSE)</f>
        <v>237.42725420875416</v>
      </c>
      <c r="Z462" s="40">
        <f t="shared" si="239"/>
        <v>267.44179966329961</v>
      </c>
      <c r="AA462" s="40">
        <f>VLOOKUP(D462,[1]apoio_Preços_MGS!$A$6:$AN$238,32,FALSE)</f>
        <v>4.6759150065454573</v>
      </c>
      <c r="AB462" s="40">
        <f>VLOOKUP(D462,[1]apoio_Preços_MGS!$A$6:$AN$238,33,FALSE)</f>
        <v>244.28490909090917</v>
      </c>
      <c r="AC462" s="41">
        <f>VLOOKUP(D462,[1]apoio_Preços_MGS!$A$6:$AN$238,34,FALSE)</f>
        <v>0</v>
      </c>
      <c r="AD462" s="40">
        <f>(U462+W462+Z462+AB462+AA462+VLOOKUP(C462,[1]apoio_Prec_Folha!$A:$S,7,FALSE))*AC462</f>
        <v>0</v>
      </c>
      <c r="AE462" s="42">
        <f>VLOOKUP(D462,[1]apoio_Preços_MGS!$A$6:$AN$238,36,FALSE)</f>
        <v>7.0000000000000007E-2</v>
      </c>
      <c r="AF462" s="40">
        <f>(U462+W462+Z462+AB462+AD462+AA462+VLOOKUP(C462,[1]apoio_Prec_Folha!$A:$S,7,FALSE))*AE462</f>
        <v>477.45248264912141</v>
      </c>
      <c r="AG462" s="40">
        <f t="shared" si="240"/>
        <v>6749.61</v>
      </c>
      <c r="AH462" s="43">
        <f t="shared" si="241"/>
        <v>7605.19</v>
      </c>
      <c r="AI462" s="43">
        <f t="shared" si="242"/>
        <v>7605.19</v>
      </c>
      <c r="AJ462" s="43">
        <f t="shared" si="243"/>
        <v>456311.39999999997</v>
      </c>
      <c r="AK462" s="44">
        <f>VLOOKUP(D462,[1]apoio_Preços_MGS!$A$6:$AN$238,39,FALSE)</f>
        <v>181.81818181818184</v>
      </c>
      <c r="AL462" s="44">
        <f>IF(J462="demais municípios",VLOOKUP(D462,[1]apoio_Preços_MGS!$A$6:$AN$238,39,FALSE),0)</f>
        <v>181.81818181818184</v>
      </c>
      <c r="AM462" s="44">
        <v>0</v>
      </c>
      <c r="AN462" s="45">
        <f t="shared" ref="AN462:AN466" si="259">AK462*K462</f>
        <v>181.81818181818184</v>
      </c>
      <c r="AO462" s="44">
        <f>VLOOKUP(D462,[1]apoio_Preços_MGS!$A$6:$AN$238,40,FALSE)</f>
        <v>648.33000000000004</v>
      </c>
      <c r="AP462" s="44">
        <f>IF(J462="demais municípios",VLOOKUP(D462,[1]apoio_Preços_MGS!$A$6:$AN$238,40,FALSE),0)</f>
        <v>648.33000000000004</v>
      </c>
      <c r="AQ462" s="44">
        <v>0</v>
      </c>
      <c r="AR462" s="45">
        <f t="shared" ref="AR462:AR466" si="260">AO462*K462</f>
        <v>648.33000000000004</v>
      </c>
      <c r="AS462" s="45">
        <f t="shared" si="255"/>
        <v>830.14818181818191</v>
      </c>
      <c r="AT462" s="45">
        <f t="shared" si="256"/>
        <v>49808.890909090915</v>
      </c>
      <c r="AU462" s="62"/>
      <c r="AV462" s="46"/>
      <c r="AW462" s="47"/>
      <c r="AX462" s="48"/>
      <c r="AY462" s="49"/>
      <c r="BA462" s="48"/>
    </row>
    <row r="463" spans="1:53" ht="19.5" customHeight="1" x14ac:dyDescent="0.25">
      <c r="A463" s="33" t="str">
        <f t="shared" si="253"/>
        <v>106356440,02</v>
      </c>
      <c r="B463" s="33" t="str">
        <f t="shared" si="254"/>
        <v>3960,02</v>
      </c>
      <c r="C463" s="34" t="str">
        <f>VLOOKUP(D463,[1]apoio_Preços_MGS!$A$6:$B$238,2,FALSE)</f>
        <v>ORIENTADOR AMBIENTAL</v>
      </c>
      <c r="D463" s="35">
        <v>396</v>
      </c>
      <c r="E463" s="33" t="str">
        <f>VLOOKUP(D463,[1]apoio_Preços_MGS!$A$6:$F$238,6,FALSE)</f>
        <v>ORIENTADOR AMBIENTAL - (PERIC.) - DIARISTA DIURNO - 44H</v>
      </c>
      <c r="F463" s="36">
        <f>IFERROR(VLOOKUP(D463,'[1]apoio_cód catmas'!$B$2:$C$863,2,FALSE),0)</f>
        <v>106356</v>
      </c>
      <c r="G463" s="33" t="str">
        <f>IF(H463="N/A",VLOOKUP(F463&amp;40,'[1]apoio_cód catmas'!$A$1:$G$233,4,FALSE),VLOOKUP(F463&amp;H463,'[1]apoio_cód catmas'!$A$1:$G$233,4,FALSE))</f>
        <v>ORIENTADOR AMBIENTAL - (PERICULOSIDADE)- 40H e 44 H</v>
      </c>
      <c r="H463" s="36">
        <v>44</v>
      </c>
      <c r="I463" s="37">
        <v>0.02</v>
      </c>
      <c r="J463" s="38" t="s">
        <v>46</v>
      </c>
      <c r="K463" s="39">
        <v>8</v>
      </c>
      <c r="L463" s="39">
        <f t="shared" si="238"/>
        <v>480</v>
      </c>
      <c r="M463" s="40">
        <f>VLOOKUP(D463,[1]apoio_Preços_MGS!$A$6:$AN$238,18,FALSE)</f>
        <v>2678.9096391666685</v>
      </c>
      <c r="N463" s="40">
        <f>VLOOKUP(D463,[1]apoio_Preços_MGS!$A$6:$AN$238,19,FALSE)</f>
        <v>803.67289175000053</v>
      </c>
      <c r="O463" s="40">
        <f>VLOOKUP(D463,[1]apoio_Preços_MGS!$A$6:$AN$238,20,FALSE)</f>
        <v>0</v>
      </c>
      <c r="P463" s="40">
        <f>VLOOKUP(D463,[1]apoio_Preços_MGS!$A$6:$AN$238,21,FALSE)</f>
        <v>0</v>
      </c>
      <c r="Q463" s="40">
        <f>VLOOKUP(D463,[1]apoio_Preços_MGS!$A$6:$AN$238,22,FALSE)</f>
        <v>0</v>
      </c>
      <c r="R463" s="40">
        <f>VLOOKUP(D463,[1]apoio_Preços_MGS!$A$6:$AN$238,23,FALSE)</f>
        <v>0</v>
      </c>
      <c r="S463" s="40">
        <f>VLOOKUP(D463,[1]apoio_Preços_MGS!$A$6:$AN$238,24,FALSE)</f>
        <v>0</v>
      </c>
      <c r="T463" s="40">
        <f>VLOOKUP(D463,[1]apoio_Preços_MGS!$A$6:$AN$238,25,FALSE)</f>
        <v>0</v>
      </c>
      <c r="U463" s="40">
        <f t="shared" si="247"/>
        <v>3482.5825309166689</v>
      </c>
      <c r="V463" s="41">
        <v>0.81799999999999995</v>
      </c>
      <c r="W463" s="40">
        <f t="shared" si="248"/>
        <v>2848.7525102898348</v>
      </c>
      <c r="X463" s="40">
        <f>VLOOKUP(D463,[1]apoio_Preços_MGS!$A$6:$AN$238,29,FALSE)</f>
        <v>30.014545454545452</v>
      </c>
      <c r="Y463" s="40">
        <f>VLOOKUP(D463,[1]apoio_Preços_MGS!$A$6:$AN$238,30,FALSE)</f>
        <v>237.42725420875416</v>
      </c>
      <c r="Z463" s="40">
        <f t="shared" si="239"/>
        <v>267.44179966329961</v>
      </c>
      <c r="AA463" s="40">
        <f>VLOOKUP(D463,[1]apoio_Preços_MGS!$A$6:$AN$238,32,FALSE)</f>
        <v>5.1435065072000032</v>
      </c>
      <c r="AB463" s="40">
        <f>VLOOKUP(D463,[1]apoio_Preços_MGS!$A$6:$AN$238,33,FALSE)</f>
        <v>234.87788888888895</v>
      </c>
      <c r="AC463" s="41">
        <f>VLOOKUP(D463,[1]apoio_Preços_MGS!$A$6:$AN$238,34,FALSE)</f>
        <v>0</v>
      </c>
      <c r="AD463" s="40">
        <f>(U463+W463+Z463+AB463+AA463+VLOOKUP(C463,[1]apoio_Prec_Folha!$A:$S,7,FALSE))*AC463</f>
        <v>0</v>
      </c>
      <c r="AE463" s="42">
        <f>VLOOKUP(D463,[1]apoio_Preços_MGS!$A$6:$AN$238,36,FALSE)</f>
        <v>7.0000000000000007E-2</v>
      </c>
      <c r="AF463" s="40">
        <f>(U463+W463+Z463+AB463+AD463+AA463+VLOOKUP(C463,[1]apoio_Prec_Folha!$A:$S,7,FALSE))*AE463</f>
        <v>517.11703653861252</v>
      </c>
      <c r="AG463" s="40">
        <f t="shared" si="240"/>
        <v>7355.91</v>
      </c>
      <c r="AH463" s="43">
        <f t="shared" si="241"/>
        <v>8288.34</v>
      </c>
      <c r="AI463" s="43">
        <f t="shared" si="242"/>
        <v>66306.720000000001</v>
      </c>
      <c r="AJ463" s="43">
        <f t="shared" si="243"/>
        <v>3978403.2</v>
      </c>
      <c r="AK463" s="44">
        <f>VLOOKUP(D463,[1]apoio_Preços_MGS!$A$6:$AN$238,39,FALSE)</f>
        <v>200.00000000000003</v>
      </c>
      <c r="AL463" s="44">
        <f>IF(J463="demais municípios",VLOOKUP(D463,[1]apoio_Preços_MGS!$A$6:$AN$238,39,FALSE),0)</f>
        <v>200.00000000000003</v>
      </c>
      <c r="AM463" s="44">
        <v>0</v>
      </c>
      <c r="AN463" s="45">
        <f t="shared" si="259"/>
        <v>1600.0000000000002</v>
      </c>
      <c r="AO463" s="44">
        <f>VLOOKUP(D463,[1]apoio_Preços_MGS!$A$6:$AN$238,40,FALSE)</f>
        <v>648.33000000000004</v>
      </c>
      <c r="AP463" s="44">
        <f>IF(J463="demais municípios",VLOOKUP(D463,[1]apoio_Preços_MGS!$A$6:$AN$238,40,FALSE),0)</f>
        <v>648.33000000000004</v>
      </c>
      <c r="AQ463" s="44">
        <v>0</v>
      </c>
      <c r="AR463" s="45">
        <f t="shared" si="260"/>
        <v>5186.6400000000003</v>
      </c>
      <c r="AS463" s="45">
        <f t="shared" si="255"/>
        <v>6786.64</v>
      </c>
      <c r="AT463" s="45">
        <f t="shared" si="256"/>
        <v>407198.4</v>
      </c>
      <c r="AU463" s="62"/>
      <c r="AV463" s="46"/>
      <c r="AW463" s="47"/>
      <c r="AX463" s="48"/>
      <c r="AY463" s="49"/>
      <c r="BA463" s="48"/>
    </row>
    <row r="464" spans="1:53" ht="19.5" customHeight="1" x14ac:dyDescent="0.25">
      <c r="A464" s="33" t="str">
        <f t="shared" si="253"/>
        <v>106356440,03</v>
      </c>
      <c r="B464" s="33" t="str">
        <f t="shared" si="254"/>
        <v>3960,03</v>
      </c>
      <c r="C464" s="34" t="str">
        <f>VLOOKUP(D464,[1]apoio_Preços_MGS!$A$6:$B$238,2,FALSE)</f>
        <v>ORIENTADOR AMBIENTAL</v>
      </c>
      <c r="D464" s="35">
        <v>396</v>
      </c>
      <c r="E464" s="33" t="str">
        <f>VLOOKUP(D464,[1]apoio_Preços_MGS!$A$6:$F$238,6,FALSE)</f>
        <v>ORIENTADOR AMBIENTAL - (PERIC.) - DIARISTA DIURNO - 44H</v>
      </c>
      <c r="F464" s="36">
        <f>IFERROR(VLOOKUP(D464,'[1]apoio_cód catmas'!$B$2:$C$863,2,FALSE),0)</f>
        <v>106356</v>
      </c>
      <c r="G464" s="33" t="str">
        <f>IF(H464="N/A",VLOOKUP(F464&amp;40,'[1]apoio_cód catmas'!$A$1:$G$233,4,FALSE),VLOOKUP(F464&amp;H464,'[1]apoio_cód catmas'!$A$1:$G$233,4,FALSE))</f>
        <v>ORIENTADOR AMBIENTAL - (PERICULOSIDADE)- 40H e 44 H</v>
      </c>
      <c r="H464" s="36">
        <v>44</v>
      </c>
      <c r="I464" s="37">
        <v>0.03</v>
      </c>
      <c r="J464" s="38" t="s">
        <v>46</v>
      </c>
      <c r="K464" s="39">
        <f>11+2</f>
        <v>13</v>
      </c>
      <c r="L464" s="39">
        <f t="shared" si="238"/>
        <v>780</v>
      </c>
      <c r="M464" s="40">
        <f>VLOOKUP(D464,[1]apoio_Preços_MGS!$A$6:$AN$238,18,FALSE)</f>
        <v>2678.9096391666685</v>
      </c>
      <c r="N464" s="40">
        <f>VLOOKUP(D464,[1]apoio_Preços_MGS!$A$6:$AN$238,19,FALSE)</f>
        <v>803.67289175000053</v>
      </c>
      <c r="O464" s="40">
        <f>VLOOKUP(D464,[1]apoio_Preços_MGS!$A$6:$AN$238,20,FALSE)</f>
        <v>0</v>
      </c>
      <c r="P464" s="40">
        <f>VLOOKUP(D464,[1]apoio_Preços_MGS!$A$6:$AN$238,21,FALSE)</f>
        <v>0</v>
      </c>
      <c r="Q464" s="40">
        <f>VLOOKUP(D464,[1]apoio_Preços_MGS!$A$6:$AN$238,22,FALSE)</f>
        <v>0</v>
      </c>
      <c r="R464" s="40">
        <f>VLOOKUP(D464,[1]apoio_Preços_MGS!$A$6:$AN$238,23,FALSE)</f>
        <v>0</v>
      </c>
      <c r="S464" s="40">
        <f>VLOOKUP(D464,[1]apoio_Preços_MGS!$A$6:$AN$238,24,FALSE)</f>
        <v>0</v>
      </c>
      <c r="T464" s="40">
        <f>VLOOKUP(D464,[1]apoio_Preços_MGS!$A$6:$AN$238,25,FALSE)</f>
        <v>0</v>
      </c>
      <c r="U464" s="40">
        <f t="shared" si="247"/>
        <v>3482.5825309166689</v>
      </c>
      <c r="V464" s="41">
        <v>0.81799999999999995</v>
      </c>
      <c r="W464" s="40">
        <f t="shared" si="248"/>
        <v>2848.7525102898348</v>
      </c>
      <c r="X464" s="40">
        <f>VLOOKUP(D464,[1]apoio_Preços_MGS!$A$6:$AN$238,29,FALSE)</f>
        <v>30.014545454545452</v>
      </c>
      <c r="Y464" s="40">
        <f>VLOOKUP(D464,[1]apoio_Preços_MGS!$A$6:$AN$238,30,FALSE)</f>
        <v>237.42725420875416</v>
      </c>
      <c r="Z464" s="40">
        <f t="shared" si="239"/>
        <v>267.44179966329961</v>
      </c>
      <c r="AA464" s="40">
        <f>VLOOKUP(D464,[1]apoio_Preços_MGS!$A$6:$AN$238,32,FALSE)</f>
        <v>5.1435065072000032</v>
      </c>
      <c r="AB464" s="40">
        <f>VLOOKUP(D464,[1]apoio_Preços_MGS!$A$6:$AN$238,33,FALSE)</f>
        <v>234.87788888888895</v>
      </c>
      <c r="AC464" s="41">
        <f>VLOOKUP(D464,[1]apoio_Preços_MGS!$A$6:$AN$238,34,FALSE)</f>
        <v>0</v>
      </c>
      <c r="AD464" s="40">
        <f>(U464+W464+Z464+AB464+AA464+VLOOKUP(C464,[1]apoio_Prec_Folha!$A:$S,7,FALSE))*AC464</f>
        <v>0</v>
      </c>
      <c r="AE464" s="42">
        <f>VLOOKUP(D464,[1]apoio_Preços_MGS!$A$6:$AN$238,36,FALSE)</f>
        <v>7.0000000000000007E-2</v>
      </c>
      <c r="AF464" s="40">
        <f>(U464+W464+Z464+AB464+AD464+AA464+VLOOKUP(C464,[1]apoio_Prec_Folha!$A:$S,7,FALSE))*AE464</f>
        <v>517.11703653861252</v>
      </c>
      <c r="AG464" s="40">
        <f t="shared" si="240"/>
        <v>7355.91</v>
      </c>
      <c r="AH464" s="43">
        <f t="shared" si="241"/>
        <v>8382.7900000000009</v>
      </c>
      <c r="AI464" s="43">
        <f t="shared" si="242"/>
        <v>108976.27000000002</v>
      </c>
      <c r="AJ464" s="43">
        <f t="shared" si="243"/>
        <v>6538576.2000000011</v>
      </c>
      <c r="AK464" s="44">
        <f>VLOOKUP(D464,[1]apoio_Preços_MGS!$A$6:$AN$238,39,FALSE)</f>
        <v>200.00000000000003</v>
      </c>
      <c r="AL464" s="44">
        <f>IF(J464="demais municípios",VLOOKUP(D464,[1]apoio_Preços_MGS!$A$6:$AN$238,39,FALSE),0)</f>
        <v>200.00000000000003</v>
      </c>
      <c r="AM464" s="44">
        <v>0</v>
      </c>
      <c r="AN464" s="45">
        <f t="shared" si="259"/>
        <v>2600.0000000000005</v>
      </c>
      <c r="AO464" s="44">
        <f>VLOOKUP(D464,[1]apoio_Preços_MGS!$A$6:$AN$238,40,FALSE)</f>
        <v>648.33000000000004</v>
      </c>
      <c r="AP464" s="44">
        <f>IF(J464="demais municípios",VLOOKUP(D464,[1]apoio_Preços_MGS!$A$6:$AN$238,40,FALSE),0)</f>
        <v>648.33000000000004</v>
      </c>
      <c r="AQ464" s="44">
        <v>0</v>
      </c>
      <c r="AR464" s="45">
        <f t="shared" si="260"/>
        <v>8428.2900000000009</v>
      </c>
      <c r="AS464" s="45">
        <f t="shared" si="255"/>
        <v>11028.29</v>
      </c>
      <c r="AT464" s="45">
        <f t="shared" si="256"/>
        <v>661697.4</v>
      </c>
      <c r="AU464" s="62"/>
      <c r="AV464" s="46"/>
      <c r="AW464" s="47"/>
      <c r="AX464" s="48"/>
      <c r="AY464" s="49"/>
      <c r="BA464" s="48"/>
    </row>
    <row r="465" spans="1:53" ht="19.5" customHeight="1" x14ac:dyDescent="0.25">
      <c r="A465" s="33" t="str">
        <f t="shared" si="253"/>
        <v>106356440,04</v>
      </c>
      <c r="B465" s="33" t="str">
        <f t="shared" si="254"/>
        <v>3960,04</v>
      </c>
      <c r="C465" s="34" t="str">
        <f>VLOOKUP(D465,[1]apoio_Preços_MGS!$A$6:$B$238,2,FALSE)</f>
        <v>ORIENTADOR AMBIENTAL</v>
      </c>
      <c r="D465" s="35">
        <v>396</v>
      </c>
      <c r="E465" s="33" t="str">
        <f>VLOOKUP(D465,[1]apoio_Preços_MGS!$A$6:$F$238,6,FALSE)</f>
        <v>ORIENTADOR AMBIENTAL - (PERIC.) - DIARISTA DIURNO - 44H</v>
      </c>
      <c r="F465" s="36">
        <f>IFERROR(VLOOKUP(D465,'[1]apoio_cód catmas'!$B$2:$C$863,2,FALSE),0)</f>
        <v>106356</v>
      </c>
      <c r="G465" s="33" t="str">
        <f>IF(H465="N/A",VLOOKUP(F465&amp;40,'[1]apoio_cód catmas'!$A$1:$G$233,4,FALSE),VLOOKUP(F465&amp;H465,'[1]apoio_cód catmas'!$A$1:$G$233,4,FALSE))</f>
        <v>ORIENTADOR AMBIENTAL - (PERICULOSIDADE)- 40H e 44 H</v>
      </c>
      <c r="H465" s="36">
        <v>44</v>
      </c>
      <c r="I465" s="37">
        <v>0.04</v>
      </c>
      <c r="J465" s="38" t="s">
        <v>46</v>
      </c>
      <c r="K465" s="39">
        <v>2</v>
      </c>
      <c r="L465" s="39">
        <f t="shared" si="238"/>
        <v>120</v>
      </c>
      <c r="M465" s="40">
        <f>VLOOKUP(D465,[1]apoio_Preços_MGS!$A$6:$AN$238,18,FALSE)</f>
        <v>2678.9096391666685</v>
      </c>
      <c r="N465" s="40">
        <f>VLOOKUP(D465,[1]apoio_Preços_MGS!$A$6:$AN$238,19,FALSE)</f>
        <v>803.67289175000053</v>
      </c>
      <c r="O465" s="40">
        <f>VLOOKUP(D465,[1]apoio_Preços_MGS!$A$6:$AN$238,20,FALSE)</f>
        <v>0</v>
      </c>
      <c r="P465" s="40">
        <f>VLOOKUP(D465,[1]apoio_Preços_MGS!$A$6:$AN$238,21,FALSE)</f>
        <v>0</v>
      </c>
      <c r="Q465" s="40">
        <f>VLOOKUP(D465,[1]apoio_Preços_MGS!$A$6:$AN$238,22,FALSE)</f>
        <v>0</v>
      </c>
      <c r="R465" s="40">
        <f>VLOOKUP(D465,[1]apoio_Preços_MGS!$A$6:$AN$238,23,FALSE)</f>
        <v>0</v>
      </c>
      <c r="S465" s="40">
        <f>VLOOKUP(D465,[1]apoio_Preços_MGS!$A$6:$AN$238,24,FALSE)</f>
        <v>0</v>
      </c>
      <c r="T465" s="40">
        <f>VLOOKUP(D465,[1]apoio_Preços_MGS!$A$6:$AN$238,25,FALSE)</f>
        <v>0</v>
      </c>
      <c r="U465" s="40">
        <f t="shared" si="247"/>
        <v>3482.5825309166689</v>
      </c>
      <c r="V465" s="41">
        <v>0.81799999999999995</v>
      </c>
      <c r="W465" s="40">
        <f t="shared" si="248"/>
        <v>2848.7525102898348</v>
      </c>
      <c r="X465" s="40">
        <f>VLOOKUP(D465,[1]apoio_Preços_MGS!$A$6:$AN$238,29,FALSE)</f>
        <v>30.014545454545452</v>
      </c>
      <c r="Y465" s="40">
        <f>VLOOKUP(D465,[1]apoio_Preços_MGS!$A$6:$AN$238,30,FALSE)</f>
        <v>237.42725420875416</v>
      </c>
      <c r="Z465" s="40">
        <f t="shared" si="239"/>
        <v>267.44179966329961</v>
      </c>
      <c r="AA465" s="40">
        <f>VLOOKUP(D465,[1]apoio_Preços_MGS!$A$6:$AN$238,32,FALSE)</f>
        <v>5.1435065072000032</v>
      </c>
      <c r="AB465" s="40">
        <f>VLOOKUP(D465,[1]apoio_Preços_MGS!$A$6:$AN$238,33,FALSE)</f>
        <v>234.87788888888895</v>
      </c>
      <c r="AC465" s="41">
        <f>VLOOKUP(D465,[1]apoio_Preços_MGS!$A$6:$AN$238,34,FALSE)</f>
        <v>0</v>
      </c>
      <c r="AD465" s="40">
        <f>(U465+W465+Z465+AB465+AA465+VLOOKUP(C465,[1]apoio_Prec_Folha!$A:$S,7,FALSE))*AC465</f>
        <v>0</v>
      </c>
      <c r="AE465" s="42">
        <f>VLOOKUP(D465,[1]apoio_Preços_MGS!$A$6:$AN$238,36,FALSE)</f>
        <v>7.0000000000000007E-2</v>
      </c>
      <c r="AF465" s="40">
        <f>(U465+W465+Z465+AB465+AD465+AA465+VLOOKUP(C465,[1]apoio_Prec_Folha!$A:$S,7,FALSE))*AE465</f>
        <v>517.11703653861252</v>
      </c>
      <c r="AG465" s="40">
        <f t="shared" si="240"/>
        <v>7355.91</v>
      </c>
      <c r="AH465" s="43">
        <f t="shared" si="241"/>
        <v>8479.4500000000007</v>
      </c>
      <c r="AI465" s="43">
        <f t="shared" si="242"/>
        <v>16958.900000000001</v>
      </c>
      <c r="AJ465" s="43">
        <f t="shared" si="243"/>
        <v>1017534.0000000001</v>
      </c>
      <c r="AK465" s="44">
        <f>VLOOKUP(D465,[1]apoio_Preços_MGS!$A$6:$AN$238,39,FALSE)</f>
        <v>200.00000000000003</v>
      </c>
      <c r="AL465" s="44">
        <f>IF(J465="demais municípios",VLOOKUP(D465,[1]apoio_Preços_MGS!$A$6:$AN$238,39,FALSE),0)</f>
        <v>200.00000000000003</v>
      </c>
      <c r="AM465" s="44">
        <v>0</v>
      </c>
      <c r="AN465" s="45">
        <f t="shared" si="259"/>
        <v>400.00000000000006</v>
      </c>
      <c r="AO465" s="44">
        <f>VLOOKUP(D465,[1]apoio_Preços_MGS!$A$6:$AN$238,40,FALSE)</f>
        <v>648.33000000000004</v>
      </c>
      <c r="AP465" s="44">
        <f>IF(J465="demais municípios",VLOOKUP(D465,[1]apoio_Preços_MGS!$A$6:$AN$238,40,FALSE),0)</f>
        <v>648.33000000000004</v>
      </c>
      <c r="AQ465" s="44">
        <v>0</v>
      </c>
      <c r="AR465" s="45">
        <f t="shared" si="260"/>
        <v>1296.6600000000001</v>
      </c>
      <c r="AS465" s="45">
        <f t="shared" si="255"/>
        <v>1696.66</v>
      </c>
      <c r="AT465" s="45">
        <f t="shared" si="256"/>
        <v>101799.6</v>
      </c>
      <c r="AU465" s="62"/>
      <c r="AV465" s="46"/>
      <c r="AW465" s="47"/>
      <c r="AX465" s="48"/>
      <c r="AY465" s="49"/>
      <c r="BA465" s="48"/>
    </row>
    <row r="466" spans="1:53" ht="19.5" customHeight="1" x14ac:dyDescent="0.25">
      <c r="A466" s="33" t="str">
        <f t="shared" si="253"/>
        <v>106356440,05</v>
      </c>
      <c r="B466" s="33" t="str">
        <f t="shared" si="254"/>
        <v>3960,05</v>
      </c>
      <c r="C466" s="34" t="str">
        <f>VLOOKUP(D466,[1]apoio_Preços_MGS!$A$6:$B$238,2,FALSE)</f>
        <v>ORIENTADOR AMBIENTAL</v>
      </c>
      <c r="D466" s="35">
        <v>396</v>
      </c>
      <c r="E466" s="33" t="str">
        <f>VLOOKUP(D466,[1]apoio_Preços_MGS!$A$6:$F$238,6,FALSE)</f>
        <v>ORIENTADOR AMBIENTAL - (PERIC.) - DIARISTA DIURNO - 44H</v>
      </c>
      <c r="F466" s="36">
        <f>IFERROR(VLOOKUP(D466,'[1]apoio_cód catmas'!$B$2:$C$863,2,FALSE),0)</f>
        <v>106356</v>
      </c>
      <c r="G466" s="33" t="str">
        <f>IF(H466="N/A",VLOOKUP(F466&amp;40,'[1]apoio_cód catmas'!$A$1:$G$233,4,FALSE),VLOOKUP(F466&amp;H466,'[1]apoio_cód catmas'!$A$1:$G$233,4,FALSE))</f>
        <v>ORIENTADOR AMBIENTAL - (PERICULOSIDADE)- 40H e 44 H</v>
      </c>
      <c r="H466" s="36">
        <v>44</v>
      </c>
      <c r="I466" s="37">
        <v>0.05</v>
      </c>
      <c r="J466" s="38" t="s">
        <v>46</v>
      </c>
      <c r="K466" s="39">
        <f>7-K467-2</f>
        <v>3</v>
      </c>
      <c r="L466" s="39">
        <f t="shared" si="238"/>
        <v>180</v>
      </c>
      <c r="M466" s="40">
        <f>VLOOKUP(D466,[1]apoio_Preços_MGS!$A$6:$AN$238,18,FALSE)</f>
        <v>2678.9096391666685</v>
      </c>
      <c r="N466" s="40">
        <f>VLOOKUP(D466,[1]apoio_Preços_MGS!$A$6:$AN$238,19,FALSE)</f>
        <v>803.67289175000053</v>
      </c>
      <c r="O466" s="40">
        <f>VLOOKUP(D466,[1]apoio_Preços_MGS!$A$6:$AN$238,20,FALSE)</f>
        <v>0</v>
      </c>
      <c r="P466" s="40">
        <f>VLOOKUP(D466,[1]apoio_Preços_MGS!$A$6:$AN$238,21,FALSE)</f>
        <v>0</v>
      </c>
      <c r="Q466" s="40">
        <f>VLOOKUP(D466,[1]apoio_Preços_MGS!$A$6:$AN$238,22,FALSE)</f>
        <v>0</v>
      </c>
      <c r="R466" s="40">
        <f>VLOOKUP(D466,[1]apoio_Preços_MGS!$A$6:$AN$238,23,FALSE)</f>
        <v>0</v>
      </c>
      <c r="S466" s="40">
        <f>VLOOKUP(D466,[1]apoio_Preços_MGS!$A$6:$AN$238,24,FALSE)</f>
        <v>0</v>
      </c>
      <c r="T466" s="40">
        <f>VLOOKUP(D466,[1]apoio_Preços_MGS!$A$6:$AN$238,25,FALSE)</f>
        <v>0</v>
      </c>
      <c r="U466" s="40">
        <f t="shared" si="247"/>
        <v>3482.5825309166689</v>
      </c>
      <c r="V466" s="41">
        <v>0.81799999999999995</v>
      </c>
      <c r="W466" s="40">
        <f t="shared" si="248"/>
        <v>2848.7525102898348</v>
      </c>
      <c r="X466" s="40">
        <f>VLOOKUP(D466,[1]apoio_Preços_MGS!$A$6:$AN$238,29,FALSE)</f>
        <v>30.014545454545452</v>
      </c>
      <c r="Y466" s="40">
        <f>VLOOKUP(D466,[1]apoio_Preços_MGS!$A$6:$AN$238,30,FALSE)</f>
        <v>237.42725420875416</v>
      </c>
      <c r="Z466" s="40">
        <f t="shared" si="239"/>
        <v>267.44179966329961</v>
      </c>
      <c r="AA466" s="40">
        <f>VLOOKUP(D466,[1]apoio_Preços_MGS!$A$6:$AN$238,32,FALSE)</f>
        <v>5.1435065072000032</v>
      </c>
      <c r="AB466" s="40">
        <f>VLOOKUP(D466,[1]apoio_Preços_MGS!$A$6:$AN$238,33,FALSE)</f>
        <v>234.87788888888895</v>
      </c>
      <c r="AC466" s="41">
        <f>VLOOKUP(D466,[1]apoio_Preços_MGS!$A$6:$AN$238,34,FALSE)</f>
        <v>0</v>
      </c>
      <c r="AD466" s="40">
        <f>(U466+W466+Z466+AB466+AA466+VLOOKUP(C466,[1]apoio_Prec_Folha!$A:$S,7,FALSE))*AC466</f>
        <v>0</v>
      </c>
      <c r="AE466" s="42">
        <f>VLOOKUP(D466,[1]apoio_Preços_MGS!$A$6:$AN$238,36,FALSE)</f>
        <v>7.0000000000000007E-2</v>
      </c>
      <c r="AF466" s="40">
        <f>(U466+W466+Z466+AB466+AD466+AA466+VLOOKUP(C466,[1]apoio_Prec_Folha!$A:$S,7,FALSE))*AE466</f>
        <v>517.11703653861252</v>
      </c>
      <c r="AG466" s="40">
        <f t="shared" si="240"/>
        <v>7355.91</v>
      </c>
      <c r="AH466" s="43">
        <f t="shared" si="241"/>
        <v>8578.31</v>
      </c>
      <c r="AI466" s="43">
        <f t="shared" si="242"/>
        <v>25734.93</v>
      </c>
      <c r="AJ466" s="43">
        <f t="shared" si="243"/>
        <v>1544095.7999999998</v>
      </c>
      <c r="AK466" s="44">
        <f>VLOOKUP(D466,[1]apoio_Preços_MGS!$A$6:$AN$238,39,FALSE)</f>
        <v>200.00000000000003</v>
      </c>
      <c r="AL466" s="44">
        <f>IF(J466="demais municípios",VLOOKUP(D466,[1]apoio_Preços_MGS!$A$6:$AN$238,39,FALSE),0)</f>
        <v>200.00000000000003</v>
      </c>
      <c r="AM466" s="44">
        <v>0</v>
      </c>
      <c r="AN466" s="45">
        <f t="shared" si="259"/>
        <v>600.00000000000011</v>
      </c>
      <c r="AO466" s="44">
        <f>VLOOKUP(D466,[1]apoio_Preços_MGS!$A$6:$AN$238,40,FALSE)</f>
        <v>648.33000000000004</v>
      </c>
      <c r="AP466" s="44">
        <f>IF(J466="demais municípios",VLOOKUP(D466,[1]apoio_Preços_MGS!$A$6:$AN$238,40,FALSE),0)</f>
        <v>648.33000000000004</v>
      </c>
      <c r="AQ466" s="44">
        <v>0</v>
      </c>
      <c r="AR466" s="45">
        <f t="shared" si="260"/>
        <v>1944.9900000000002</v>
      </c>
      <c r="AS466" s="45">
        <f t="shared" si="255"/>
        <v>2544.9900000000002</v>
      </c>
      <c r="AT466" s="45">
        <f t="shared" si="256"/>
        <v>152699.40000000002</v>
      </c>
      <c r="AU466" s="62"/>
      <c r="AV466" s="46"/>
      <c r="AW466" s="47"/>
      <c r="AX466" s="48"/>
      <c r="AY466" s="49"/>
      <c r="BA466" s="48"/>
    </row>
    <row r="467" spans="1:53" ht="19.5" customHeight="1" x14ac:dyDescent="0.25">
      <c r="A467" s="33" t="str">
        <f t="shared" si="253"/>
        <v>106356440,05</v>
      </c>
      <c r="B467" s="33" t="str">
        <f t="shared" si="254"/>
        <v>3960,05</v>
      </c>
      <c r="C467" s="34" t="str">
        <f>VLOOKUP(D467,[1]apoio_Preços_MGS!$A$6:$B$238,2,FALSE)</f>
        <v>ORIENTADOR AMBIENTAL</v>
      </c>
      <c r="D467" s="35">
        <v>396</v>
      </c>
      <c r="E467" s="33" t="str">
        <f>VLOOKUP(D467,[1]apoio_Preços_MGS!$A$6:$F$238,6,FALSE)</f>
        <v>ORIENTADOR AMBIENTAL - (PERIC.) - DIARISTA DIURNO - 44H</v>
      </c>
      <c r="F467" s="36">
        <f>IFERROR(VLOOKUP(D467,'[1]apoio_cód catmas'!$B$2:$C$863,2,FALSE),0)</f>
        <v>106356</v>
      </c>
      <c r="G467" s="33" t="str">
        <f>IF(H467="N/A",VLOOKUP(F467&amp;40,'[1]apoio_cód catmas'!$A$1:$G$233,4,FALSE),VLOOKUP(F467&amp;H467,'[1]apoio_cód catmas'!$A$1:$G$233,4,FALSE))</f>
        <v>ORIENTADOR AMBIENTAL - (PERICULOSIDADE)- 40H e 44 H</v>
      </c>
      <c r="H467" s="36">
        <v>44</v>
      </c>
      <c r="I467" s="37">
        <v>0.05</v>
      </c>
      <c r="J467" s="38" t="s">
        <v>47</v>
      </c>
      <c r="K467" s="39">
        <v>2</v>
      </c>
      <c r="L467" s="39">
        <f t="shared" si="238"/>
        <v>120</v>
      </c>
      <c r="M467" s="40">
        <f>VLOOKUP(D467,[1]apoio_Preços_MGS!$A$6:$AN$238,18,FALSE)</f>
        <v>2678.9096391666685</v>
      </c>
      <c r="N467" s="40">
        <f>VLOOKUP(D467,[1]apoio_Preços_MGS!$A$6:$AN$238,19,FALSE)</f>
        <v>803.67289175000053</v>
      </c>
      <c r="O467" s="40">
        <f>VLOOKUP(D467,[1]apoio_Preços_MGS!$A$6:$AN$238,20,FALSE)</f>
        <v>0</v>
      </c>
      <c r="P467" s="40">
        <f>VLOOKUP(D467,[1]apoio_Preços_MGS!$A$6:$AN$238,21,FALSE)</f>
        <v>0</v>
      </c>
      <c r="Q467" s="40">
        <f>VLOOKUP(D467,[1]apoio_Preços_MGS!$A$6:$AN$238,22,FALSE)</f>
        <v>0</v>
      </c>
      <c r="R467" s="40">
        <f>VLOOKUP(D467,[1]apoio_Preços_MGS!$A$6:$AN$238,23,FALSE)</f>
        <v>0</v>
      </c>
      <c r="S467" s="40">
        <f>VLOOKUP(D467,[1]apoio_Preços_MGS!$A$6:$AN$238,24,FALSE)</f>
        <v>0</v>
      </c>
      <c r="T467" s="40">
        <f>VLOOKUP(D467,[1]apoio_Preços_MGS!$A$6:$AN$238,25,FALSE)</f>
        <v>0</v>
      </c>
      <c r="U467" s="40">
        <f t="shared" si="247"/>
        <v>3482.5825309166689</v>
      </c>
      <c r="V467" s="41">
        <v>0.81799999999999995</v>
      </c>
      <c r="W467" s="40">
        <f t="shared" si="248"/>
        <v>2848.7525102898348</v>
      </c>
      <c r="X467" s="40">
        <f>VLOOKUP(D467,[1]apoio_Preços_MGS!$A$6:$AN$238,29,FALSE)</f>
        <v>30.014545454545452</v>
      </c>
      <c r="Y467" s="40">
        <f>VLOOKUP(D467,[1]apoio_Preços_MGS!$A$6:$AN$238,30,FALSE)</f>
        <v>237.42725420875416</v>
      </c>
      <c r="Z467" s="40">
        <f t="shared" si="239"/>
        <v>267.44179966329961</v>
      </c>
      <c r="AA467" s="40">
        <f>VLOOKUP(D467,[1]apoio_Preços_MGS!$A$6:$AN$238,32,FALSE)</f>
        <v>5.1435065072000032</v>
      </c>
      <c r="AB467" s="40">
        <f>VLOOKUP(D467,[1]apoio_Preços_MGS!$A$6:$AN$238,33,FALSE)</f>
        <v>234.87788888888895</v>
      </c>
      <c r="AC467" s="41">
        <f>VLOOKUP(D467,[1]apoio_Preços_MGS!$A$6:$AN$238,34,FALSE)</f>
        <v>0</v>
      </c>
      <c r="AD467" s="40">
        <f>(U467+W467+Z467+AB467+AA467+VLOOKUP(C467,[1]apoio_Prec_Folha!$A:$S,7,FALSE))*AC467</f>
        <v>0</v>
      </c>
      <c r="AE467" s="42">
        <f>VLOOKUP(D467,[1]apoio_Preços_MGS!$A$6:$AN$238,36,FALSE)</f>
        <v>7.0000000000000007E-2</v>
      </c>
      <c r="AF467" s="40">
        <f>(U467+W467+Z467+AB467+AD467+AA467+VLOOKUP(C467,[1]apoio_Prec_Folha!$A:$S,7,FALSE))*AE467</f>
        <v>517.11703653861252</v>
      </c>
      <c r="AG467" s="40">
        <f t="shared" si="240"/>
        <v>7355.91</v>
      </c>
      <c r="AH467" s="43">
        <f t="shared" si="241"/>
        <v>8578.31</v>
      </c>
      <c r="AI467" s="43">
        <f t="shared" si="242"/>
        <v>17156.62</v>
      </c>
      <c r="AJ467" s="43">
        <f t="shared" si="243"/>
        <v>1029397.2</v>
      </c>
      <c r="AK467" s="44">
        <f>VLOOKUP(D467,[1]apoio_Preços_MGS!$A$6:$AN$238,39,FALSE)</f>
        <v>200.00000000000003</v>
      </c>
      <c r="AL467" s="44">
        <f>IF(J467="demais municípios",VLOOKUP(D467,[1]apoio_Preços_MGS!$A$6:$AN$238,39,FALSE),0)</f>
        <v>0</v>
      </c>
      <c r="AM467" s="44">
        <f>TRUNC(ROUND(($I467)/(1-($I467)),5)*VLOOKUP(D467,[1]apoio_Preços_MGS!$A$6:$AN$238,39,FALSE)+VLOOKUP(D467,[1]apoio_Preços_MGS!$A$6:$AN$238,39,FALSE),2)</f>
        <v>210.52</v>
      </c>
      <c r="AN467" s="45">
        <f t="shared" si="257"/>
        <v>421.04</v>
      </c>
      <c r="AO467" s="44">
        <f>VLOOKUP(D467,[1]apoio_Preços_MGS!$A$6:$AN$238,40,FALSE)</f>
        <v>648.33000000000004</v>
      </c>
      <c r="AP467" s="44">
        <f>IF(J467="demais municípios",VLOOKUP(D467,[1]apoio_Preços_MGS!$A$6:$AN$238,40,FALSE),0)</f>
        <v>0</v>
      </c>
      <c r="AQ467" s="44">
        <f>TRUNC(ROUND(($I467)/(1-($I467)),5)*VLOOKUP(D467,[1]apoio_Preços_MGS!$A$6:$AN$238,40,FALSE)+VLOOKUP(D467,[1]apoio_Preços_MGS!$A$6:$AN$238,40,FALSE),2)</f>
        <v>682.45</v>
      </c>
      <c r="AR467" s="45">
        <f t="shared" si="258"/>
        <v>1364.9</v>
      </c>
      <c r="AS467" s="45">
        <f t="shared" si="255"/>
        <v>1785.94</v>
      </c>
      <c r="AT467" s="45">
        <f t="shared" si="256"/>
        <v>107156.40000000001</v>
      </c>
      <c r="AU467" s="62"/>
      <c r="AV467" s="46"/>
      <c r="AW467" s="47"/>
      <c r="AX467" s="48"/>
      <c r="AY467" s="49"/>
      <c r="BA467" s="48"/>
    </row>
    <row r="468" spans="1:53" ht="19.5" customHeight="1" x14ac:dyDescent="0.25">
      <c r="A468" s="33" t="str">
        <f t="shared" si="253"/>
        <v>63665400,02</v>
      </c>
      <c r="B468" s="33" t="str">
        <f t="shared" si="254"/>
        <v>2470,02</v>
      </c>
      <c r="C468" s="34" t="str">
        <f>VLOOKUP(D468,[1]apoio_Preços_MGS!$A$6:$B$238,2,FALSE)</f>
        <v>ORIENTADOR AMBIENTAL</v>
      </c>
      <c r="D468" s="35">
        <v>247</v>
      </c>
      <c r="E468" s="33" t="str">
        <f>VLOOKUP(D468,[1]apoio_Preços_MGS!$A$6:$F$238,6,FALSE)</f>
        <v>ORIENTADOR AMBIENTAL - DIARISTA DIURNO - 40H</v>
      </c>
      <c r="F468" s="36">
        <f>IFERROR(VLOOKUP(D468,'[1]apoio_cód catmas'!$B$2:$C$863,2,FALSE),0)</f>
        <v>63665</v>
      </c>
      <c r="G468" s="33" t="str">
        <f>IF(H468="N/A",VLOOKUP(F468&amp;40,'[1]apoio_cód catmas'!$A$1:$G$233,4,FALSE),VLOOKUP(F468&amp;H468,'[1]apoio_cód catmas'!$A$1:$G$233,4,FALSE))</f>
        <v>ORIENTADOR AMBIENTAL - 40H</v>
      </c>
      <c r="H468" s="36">
        <v>40</v>
      </c>
      <c r="I468" s="37">
        <v>0.02</v>
      </c>
      <c r="J468" s="38" t="s">
        <v>46</v>
      </c>
      <c r="K468" s="39">
        <v>8</v>
      </c>
      <c r="L468" s="39">
        <f t="shared" si="238"/>
        <v>480</v>
      </c>
      <c r="M468" s="40">
        <f>VLOOKUP(D468,[1]apoio_Preços_MGS!$A$6:$AN$238,18,FALSE)</f>
        <v>2435.3723992424261</v>
      </c>
      <c r="N468" s="40">
        <f>VLOOKUP(D468,[1]apoio_Preços_MGS!$A$6:$AN$238,19,FALSE)</f>
        <v>0</v>
      </c>
      <c r="O468" s="40">
        <f>VLOOKUP(D468,[1]apoio_Preços_MGS!$A$6:$AN$238,20,FALSE)</f>
        <v>0</v>
      </c>
      <c r="P468" s="40">
        <f>VLOOKUP(D468,[1]apoio_Preços_MGS!$A$6:$AN$238,21,FALSE)</f>
        <v>0</v>
      </c>
      <c r="Q468" s="40">
        <f>VLOOKUP(D468,[1]apoio_Preços_MGS!$A$6:$AN$238,22,FALSE)</f>
        <v>0</v>
      </c>
      <c r="R468" s="40">
        <f>VLOOKUP(D468,[1]apoio_Preços_MGS!$A$6:$AN$238,23,FALSE)</f>
        <v>0</v>
      </c>
      <c r="S468" s="40">
        <f>VLOOKUP(D468,[1]apoio_Preços_MGS!$A$6:$AN$238,24,FALSE)</f>
        <v>0</v>
      </c>
      <c r="T468" s="40">
        <f>VLOOKUP(D468,[1]apoio_Preços_MGS!$A$6:$AN$238,25,FALSE)</f>
        <v>0</v>
      </c>
      <c r="U468" s="40">
        <f t="shared" si="247"/>
        <v>2435.3723992424261</v>
      </c>
      <c r="V468" s="41">
        <v>0.81799999999999995</v>
      </c>
      <c r="W468" s="40">
        <f t="shared" si="248"/>
        <v>1992.1346225803045</v>
      </c>
      <c r="X468" s="40">
        <f>VLOOKUP(D468,[1]apoio_Preços_MGS!$A$6:$AN$238,29,FALSE)</f>
        <v>30.014545454545452</v>
      </c>
      <c r="Y468" s="40">
        <f>VLOOKUP(D468,[1]apoio_Preços_MGS!$A$6:$AN$238,30,FALSE)</f>
        <v>237.42725420875416</v>
      </c>
      <c r="Z468" s="40">
        <f t="shared" si="239"/>
        <v>267.44179966329961</v>
      </c>
      <c r="AA468" s="40">
        <f>VLOOKUP(D468,[1]apoio_Preços_MGS!$A$6:$AN$238,32,FALSE)</f>
        <v>4.6759150065454573</v>
      </c>
      <c r="AB468" s="40">
        <f>VLOOKUP(D468,[1]apoio_Preços_MGS!$A$6:$AN$238,33,FALSE)</f>
        <v>244.28490909090917</v>
      </c>
      <c r="AC468" s="41">
        <f>VLOOKUP(D468,[1]apoio_Preços_MGS!$A$6:$AN$238,34,FALSE)</f>
        <v>0</v>
      </c>
      <c r="AD468" s="40">
        <f>(U468+W468+Z468+AB468+AA468+VLOOKUP(C468,[1]apoio_Prec_Folha!$A:$S,7,FALSE))*AC468</f>
        <v>0</v>
      </c>
      <c r="AE468" s="42">
        <f>VLOOKUP(D468,[1]apoio_Preços_MGS!$A$6:$AN$238,36,FALSE)</f>
        <v>7.0000000000000007E-2</v>
      </c>
      <c r="AF468" s="40">
        <f>(U468+W468+Z468+AB468+AD468+AA468+VLOOKUP(C468,[1]apoio_Prec_Folha!$A:$S,7,FALSE))*AE468</f>
        <v>384.47483519084403</v>
      </c>
      <c r="AG468" s="40">
        <f t="shared" si="240"/>
        <v>5328.38</v>
      </c>
      <c r="AH468" s="43">
        <f t="shared" si="241"/>
        <v>6003.8</v>
      </c>
      <c r="AI468" s="43">
        <f t="shared" si="242"/>
        <v>48030.400000000001</v>
      </c>
      <c r="AJ468" s="43">
        <f t="shared" si="243"/>
        <v>2881824</v>
      </c>
      <c r="AK468" s="44">
        <f>VLOOKUP(D468,[1]apoio_Preços_MGS!$A$6:$AN$238,39,FALSE)</f>
        <v>181.81818181818184</v>
      </c>
      <c r="AL468" s="44">
        <f>IF(J468="demais municípios",VLOOKUP(D468,[1]apoio_Preços_MGS!$A$6:$AN$238,39,FALSE),0)</f>
        <v>181.81818181818184</v>
      </c>
      <c r="AM468" s="44">
        <v>0</v>
      </c>
      <c r="AN468" s="45">
        <f t="shared" ref="AN468:AN472" si="261">AK468*K468</f>
        <v>1454.5454545454547</v>
      </c>
      <c r="AO468" s="44">
        <f>VLOOKUP(D468,[1]apoio_Preços_MGS!$A$6:$AN$238,40,FALSE)</f>
        <v>648.33000000000004</v>
      </c>
      <c r="AP468" s="44">
        <f>IF(J468="demais municípios",VLOOKUP(D468,[1]apoio_Preços_MGS!$A$6:$AN$238,40,FALSE),0)</f>
        <v>648.33000000000004</v>
      </c>
      <c r="AQ468" s="44">
        <v>0</v>
      </c>
      <c r="AR468" s="45">
        <f t="shared" ref="AR468:AR472" si="262">AO468*K468</f>
        <v>5186.6400000000003</v>
      </c>
      <c r="AS468" s="45">
        <f t="shared" si="255"/>
        <v>6641.1854545454553</v>
      </c>
      <c r="AT468" s="45">
        <f t="shared" si="256"/>
        <v>398471.12727272732</v>
      </c>
      <c r="AU468" s="62"/>
      <c r="AV468" s="46"/>
      <c r="AW468" s="47"/>
      <c r="AX468" s="48"/>
      <c r="AY468" s="49"/>
      <c r="BA468" s="48"/>
    </row>
    <row r="469" spans="1:53" ht="19.5" customHeight="1" x14ac:dyDescent="0.25">
      <c r="A469" s="33" t="str">
        <f t="shared" si="253"/>
        <v>63665400,03</v>
      </c>
      <c r="B469" s="33" t="str">
        <f t="shared" si="254"/>
        <v>2470,03</v>
      </c>
      <c r="C469" s="34" t="str">
        <f>VLOOKUP(D469,[1]apoio_Preços_MGS!$A$6:$B$238,2,FALSE)</f>
        <v>ORIENTADOR AMBIENTAL</v>
      </c>
      <c r="D469" s="35">
        <v>247</v>
      </c>
      <c r="E469" s="33" t="str">
        <f>VLOOKUP(D469,[1]apoio_Preços_MGS!$A$6:$F$238,6,FALSE)</f>
        <v>ORIENTADOR AMBIENTAL - DIARISTA DIURNO - 40H</v>
      </c>
      <c r="F469" s="36">
        <f>IFERROR(VLOOKUP(D469,'[1]apoio_cód catmas'!$B$2:$C$863,2,FALSE),0)</f>
        <v>63665</v>
      </c>
      <c r="G469" s="33" t="str">
        <f>IF(H469="N/A",VLOOKUP(F469&amp;40,'[1]apoio_cód catmas'!$A$1:$G$233,4,FALSE),VLOOKUP(F469&amp;H469,'[1]apoio_cód catmas'!$A$1:$G$233,4,FALSE))</f>
        <v>ORIENTADOR AMBIENTAL - 40H</v>
      </c>
      <c r="H469" s="36">
        <v>40</v>
      </c>
      <c r="I469" s="37">
        <v>0.03</v>
      </c>
      <c r="J469" s="38" t="s">
        <v>46</v>
      </c>
      <c r="K469" s="39">
        <f>36+1</f>
        <v>37</v>
      </c>
      <c r="L469" s="39">
        <f t="shared" si="238"/>
        <v>2220</v>
      </c>
      <c r="M469" s="40">
        <f>VLOOKUP(D469,[1]apoio_Preços_MGS!$A$6:$AN$238,18,FALSE)</f>
        <v>2435.3723992424261</v>
      </c>
      <c r="N469" s="40">
        <f>VLOOKUP(D469,[1]apoio_Preços_MGS!$A$6:$AN$238,19,FALSE)</f>
        <v>0</v>
      </c>
      <c r="O469" s="40">
        <f>VLOOKUP(D469,[1]apoio_Preços_MGS!$A$6:$AN$238,20,FALSE)</f>
        <v>0</v>
      </c>
      <c r="P469" s="40">
        <f>VLOOKUP(D469,[1]apoio_Preços_MGS!$A$6:$AN$238,21,FALSE)</f>
        <v>0</v>
      </c>
      <c r="Q469" s="40">
        <f>VLOOKUP(D469,[1]apoio_Preços_MGS!$A$6:$AN$238,22,FALSE)</f>
        <v>0</v>
      </c>
      <c r="R469" s="40">
        <f>VLOOKUP(D469,[1]apoio_Preços_MGS!$A$6:$AN$238,23,FALSE)</f>
        <v>0</v>
      </c>
      <c r="S469" s="40">
        <f>VLOOKUP(D469,[1]apoio_Preços_MGS!$A$6:$AN$238,24,FALSE)</f>
        <v>0</v>
      </c>
      <c r="T469" s="40">
        <f>VLOOKUP(D469,[1]apoio_Preços_MGS!$A$6:$AN$238,25,FALSE)</f>
        <v>0</v>
      </c>
      <c r="U469" s="40">
        <f t="shared" si="247"/>
        <v>2435.3723992424261</v>
      </c>
      <c r="V469" s="41">
        <v>0.81799999999999995</v>
      </c>
      <c r="W469" s="40">
        <f t="shared" si="248"/>
        <v>1992.1346225803045</v>
      </c>
      <c r="X469" s="40">
        <f>VLOOKUP(D469,[1]apoio_Preços_MGS!$A$6:$AN$238,29,FALSE)</f>
        <v>30.014545454545452</v>
      </c>
      <c r="Y469" s="40">
        <f>VLOOKUP(D469,[1]apoio_Preços_MGS!$A$6:$AN$238,30,FALSE)</f>
        <v>237.42725420875416</v>
      </c>
      <c r="Z469" s="40">
        <f t="shared" si="239"/>
        <v>267.44179966329961</v>
      </c>
      <c r="AA469" s="40">
        <f>VLOOKUP(D469,[1]apoio_Preços_MGS!$A$6:$AN$238,32,FALSE)</f>
        <v>4.6759150065454573</v>
      </c>
      <c r="AB469" s="40">
        <f>VLOOKUP(D469,[1]apoio_Preços_MGS!$A$6:$AN$238,33,FALSE)</f>
        <v>244.28490909090917</v>
      </c>
      <c r="AC469" s="41">
        <f>VLOOKUP(D469,[1]apoio_Preços_MGS!$A$6:$AN$238,34,FALSE)</f>
        <v>0</v>
      </c>
      <c r="AD469" s="40">
        <f>(U469+W469+Z469+AB469+AA469+VLOOKUP(C469,[1]apoio_Prec_Folha!$A:$S,7,FALSE))*AC469</f>
        <v>0</v>
      </c>
      <c r="AE469" s="42">
        <f>VLOOKUP(D469,[1]apoio_Preços_MGS!$A$6:$AN$238,36,FALSE)</f>
        <v>7.0000000000000007E-2</v>
      </c>
      <c r="AF469" s="40">
        <f>(U469+W469+Z469+AB469+AD469+AA469+VLOOKUP(C469,[1]apoio_Prec_Folha!$A:$S,7,FALSE))*AE469</f>
        <v>384.47483519084403</v>
      </c>
      <c r="AG469" s="40">
        <f t="shared" si="240"/>
        <v>5328.38</v>
      </c>
      <c r="AH469" s="43">
        <f t="shared" si="241"/>
        <v>6072.22</v>
      </c>
      <c r="AI469" s="43">
        <f t="shared" si="242"/>
        <v>224672.14</v>
      </c>
      <c r="AJ469" s="43">
        <f t="shared" si="243"/>
        <v>13480328.4</v>
      </c>
      <c r="AK469" s="44">
        <f>VLOOKUP(D469,[1]apoio_Preços_MGS!$A$6:$AN$238,39,FALSE)</f>
        <v>181.81818181818184</v>
      </c>
      <c r="AL469" s="44">
        <f>IF(J469="demais municípios",VLOOKUP(D469,[1]apoio_Preços_MGS!$A$6:$AN$238,39,FALSE),0)</f>
        <v>181.81818181818184</v>
      </c>
      <c r="AM469" s="44">
        <v>0</v>
      </c>
      <c r="AN469" s="45">
        <f t="shared" si="261"/>
        <v>6727.2727272727279</v>
      </c>
      <c r="AO469" s="44">
        <f>VLOOKUP(D469,[1]apoio_Preços_MGS!$A$6:$AN$238,40,FALSE)</f>
        <v>648.33000000000004</v>
      </c>
      <c r="AP469" s="44">
        <f>IF(J469="demais municípios",VLOOKUP(D469,[1]apoio_Preços_MGS!$A$6:$AN$238,40,FALSE),0)</f>
        <v>648.33000000000004</v>
      </c>
      <c r="AQ469" s="44">
        <v>0</v>
      </c>
      <c r="AR469" s="45">
        <f t="shared" si="262"/>
        <v>23988.210000000003</v>
      </c>
      <c r="AS469" s="45">
        <f t="shared" si="255"/>
        <v>30715.482727272731</v>
      </c>
      <c r="AT469" s="45">
        <f t="shared" si="256"/>
        <v>1842928.9636363639</v>
      </c>
      <c r="AU469" s="62"/>
      <c r="AV469" s="46"/>
      <c r="AW469" s="47"/>
      <c r="AX469" s="48"/>
      <c r="AY469" s="49"/>
      <c r="BA469" s="48"/>
    </row>
    <row r="470" spans="1:53" ht="19.5" customHeight="1" x14ac:dyDescent="0.25">
      <c r="A470" s="33" t="str">
        <f t="shared" si="253"/>
        <v>63665400,035</v>
      </c>
      <c r="B470" s="33" t="str">
        <f t="shared" si="254"/>
        <v>2470,035</v>
      </c>
      <c r="C470" s="34" t="str">
        <f>VLOOKUP(D470,[1]apoio_Preços_MGS!$A$6:$B$238,2,FALSE)</f>
        <v>ORIENTADOR AMBIENTAL</v>
      </c>
      <c r="D470" s="35">
        <v>247</v>
      </c>
      <c r="E470" s="33" t="str">
        <f>VLOOKUP(D470,[1]apoio_Preços_MGS!$A$6:$F$238,6,FALSE)</f>
        <v>ORIENTADOR AMBIENTAL - DIARISTA DIURNO - 40H</v>
      </c>
      <c r="F470" s="36">
        <f>IFERROR(VLOOKUP(D470,'[1]apoio_cód catmas'!$B$2:$C$863,2,FALSE),0)</f>
        <v>63665</v>
      </c>
      <c r="G470" s="33" t="str">
        <f>IF(H470="N/A",VLOOKUP(F470&amp;40,'[1]apoio_cód catmas'!$A$1:$G$233,4,FALSE),VLOOKUP(F470&amp;H470,'[1]apoio_cód catmas'!$A$1:$G$233,4,FALSE))</f>
        <v>ORIENTADOR AMBIENTAL - 40H</v>
      </c>
      <c r="H470" s="36">
        <v>40</v>
      </c>
      <c r="I470" s="37">
        <v>3.5000000000000003E-2</v>
      </c>
      <c r="J470" s="38" t="s">
        <v>46</v>
      </c>
      <c r="K470" s="39">
        <v>2</v>
      </c>
      <c r="L470" s="39">
        <f t="shared" si="238"/>
        <v>120</v>
      </c>
      <c r="M470" s="40">
        <f>VLOOKUP(D470,[1]apoio_Preços_MGS!$A$6:$AN$238,18,FALSE)</f>
        <v>2435.3723992424261</v>
      </c>
      <c r="N470" s="40">
        <f>VLOOKUP(D470,[1]apoio_Preços_MGS!$A$6:$AN$238,19,FALSE)</f>
        <v>0</v>
      </c>
      <c r="O470" s="40">
        <f>VLOOKUP(D470,[1]apoio_Preços_MGS!$A$6:$AN$238,20,FALSE)</f>
        <v>0</v>
      </c>
      <c r="P470" s="40">
        <f>VLOOKUP(D470,[1]apoio_Preços_MGS!$A$6:$AN$238,21,FALSE)</f>
        <v>0</v>
      </c>
      <c r="Q470" s="40">
        <f>VLOOKUP(D470,[1]apoio_Preços_MGS!$A$6:$AN$238,22,FALSE)</f>
        <v>0</v>
      </c>
      <c r="R470" s="40">
        <f>VLOOKUP(D470,[1]apoio_Preços_MGS!$A$6:$AN$238,23,FALSE)</f>
        <v>0</v>
      </c>
      <c r="S470" s="40">
        <f>VLOOKUP(D470,[1]apoio_Preços_MGS!$A$6:$AN$238,24,FALSE)</f>
        <v>0</v>
      </c>
      <c r="T470" s="40">
        <f>VLOOKUP(D470,[1]apoio_Preços_MGS!$A$6:$AN$238,25,FALSE)</f>
        <v>0</v>
      </c>
      <c r="U470" s="40">
        <f t="shared" si="247"/>
        <v>2435.3723992424261</v>
      </c>
      <c r="V470" s="41">
        <f>VLOOKUP(D470,[1]apoio_Preços_MGS!$A$6:$AN$238,27,FALSE)</f>
        <v>0.81799999999999995</v>
      </c>
      <c r="W470" s="40">
        <f t="shared" si="248"/>
        <v>1992.1346225803045</v>
      </c>
      <c r="X470" s="40">
        <f>VLOOKUP(D470,[1]apoio_Preços_MGS!$A$6:$AN$238,29,FALSE)</f>
        <v>30.014545454545452</v>
      </c>
      <c r="Y470" s="40">
        <f>VLOOKUP(D470,[1]apoio_Preços_MGS!$A$6:$AN$238,30,FALSE)</f>
        <v>237.42725420875416</v>
      </c>
      <c r="Z470" s="40">
        <f t="shared" si="239"/>
        <v>267.44179966329961</v>
      </c>
      <c r="AA470" s="40">
        <f>VLOOKUP(D470,[1]apoio_Preços_MGS!$A$6:$AN$238,32,FALSE)</f>
        <v>4.6759150065454573</v>
      </c>
      <c r="AB470" s="40">
        <f>VLOOKUP(D470,[1]apoio_Preços_MGS!$A$6:$AN$238,33,FALSE)</f>
        <v>244.28490909090917</v>
      </c>
      <c r="AC470" s="41">
        <f>VLOOKUP(D470,[1]apoio_Preços_MGS!$A$6:$AN$238,34,FALSE)</f>
        <v>0</v>
      </c>
      <c r="AD470" s="40">
        <f>(U470+W470+Z470+AB470+AA470+VLOOKUP(C470,[1]apoio_Prec_Folha!$A:$S,7,FALSE))*AC470</f>
        <v>0</v>
      </c>
      <c r="AE470" s="42">
        <f>VLOOKUP(D470,[1]apoio_Preços_MGS!$A$6:$AN$238,36,FALSE)</f>
        <v>7.0000000000000007E-2</v>
      </c>
      <c r="AF470" s="40">
        <f>(U470+W470+Z470+AB470+AD470+AA470+VLOOKUP(C470,[1]apoio_Prec_Folha!$A:$S,7,FALSE))*AE470</f>
        <v>384.47483519084403</v>
      </c>
      <c r="AG470" s="40">
        <f t="shared" si="240"/>
        <v>5328.38</v>
      </c>
      <c r="AH470" s="43">
        <f t="shared" si="241"/>
        <v>6107.01</v>
      </c>
      <c r="AI470" s="43">
        <f t="shared" si="242"/>
        <v>12214.02</v>
      </c>
      <c r="AJ470" s="43">
        <f t="shared" si="243"/>
        <v>732841.20000000007</v>
      </c>
      <c r="AK470" s="44">
        <f>VLOOKUP(D470,[1]apoio_Preços_MGS!$A$6:$AN$238,39,FALSE)</f>
        <v>181.81818181818184</v>
      </c>
      <c r="AL470" s="44">
        <f>IF(J470="demais municípios",VLOOKUP(D470,[1]apoio_Preços_MGS!$A$6:$AN$238,39,FALSE),0)</f>
        <v>181.81818181818184</v>
      </c>
      <c r="AM470" s="44">
        <v>0</v>
      </c>
      <c r="AN470" s="45">
        <f t="shared" si="261"/>
        <v>363.63636363636368</v>
      </c>
      <c r="AO470" s="44">
        <f>VLOOKUP(D470,[1]apoio_Preços_MGS!$A$6:$AN$238,40,FALSE)</f>
        <v>648.33000000000004</v>
      </c>
      <c r="AP470" s="44">
        <f>IF(J470="demais municípios",VLOOKUP(D470,[1]apoio_Preços_MGS!$A$6:$AN$238,40,FALSE),0)</f>
        <v>648.33000000000004</v>
      </c>
      <c r="AQ470" s="44">
        <v>0</v>
      </c>
      <c r="AR470" s="45">
        <f t="shared" si="262"/>
        <v>1296.6600000000001</v>
      </c>
      <c r="AS470" s="45">
        <f t="shared" si="255"/>
        <v>1660.2963636363638</v>
      </c>
      <c r="AT470" s="45">
        <f t="shared" si="256"/>
        <v>99617.781818181829</v>
      </c>
      <c r="AU470" s="62"/>
      <c r="AV470" s="46"/>
      <c r="AW470" s="47"/>
      <c r="AX470" s="48"/>
      <c r="AY470" s="49"/>
      <c r="BA470" s="48"/>
    </row>
    <row r="471" spans="1:53" ht="19.5" customHeight="1" x14ac:dyDescent="0.25">
      <c r="A471" s="33" t="str">
        <f t="shared" si="253"/>
        <v>63665400,04</v>
      </c>
      <c r="B471" s="33" t="str">
        <f t="shared" si="254"/>
        <v>2470,04</v>
      </c>
      <c r="C471" s="34" t="str">
        <f>VLOOKUP(D471,[1]apoio_Preços_MGS!$A$6:$B$238,2,FALSE)</f>
        <v>ORIENTADOR AMBIENTAL</v>
      </c>
      <c r="D471" s="35">
        <v>247</v>
      </c>
      <c r="E471" s="33" t="str">
        <f>VLOOKUP(D471,[1]apoio_Preços_MGS!$A$6:$F$238,6,FALSE)</f>
        <v>ORIENTADOR AMBIENTAL - DIARISTA DIURNO - 40H</v>
      </c>
      <c r="F471" s="36">
        <f>IFERROR(VLOOKUP(D471,'[1]apoio_cód catmas'!$B$2:$C$863,2,FALSE),0)</f>
        <v>63665</v>
      </c>
      <c r="G471" s="33" t="str">
        <f>IF(H471="N/A",VLOOKUP(F471&amp;40,'[1]apoio_cód catmas'!$A$1:$G$233,4,FALSE),VLOOKUP(F471&amp;H471,'[1]apoio_cód catmas'!$A$1:$G$233,4,FALSE))</f>
        <v>ORIENTADOR AMBIENTAL - 40H</v>
      </c>
      <c r="H471" s="36">
        <v>40</v>
      </c>
      <c r="I471" s="37">
        <v>0.04</v>
      </c>
      <c r="J471" s="38" t="s">
        <v>46</v>
      </c>
      <c r="K471" s="39">
        <v>4</v>
      </c>
      <c r="L471" s="39">
        <f t="shared" si="238"/>
        <v>240</v>
      </c>
      <c r="M471" s="40">
        <f>VLOOKUP(D471,[1]apoio_Preços_MGS!$A$6:$AN$238,18,FALSE)</f>
        <v>2435.3723992424261</v>
      </c>
      <c r="N471" s="40">
        <f>VLOOKUP(D471,[1]apoio_Preços_MGS!$A$6:$AN$238,19,FALSE)</f>
        <v>0</v>
      </c>
      <c r="O471" s="40">
        <f>VLOOKUP(D471,[1]apoio_Preços_MGS!$A$6:$AN$238,20,FALSE)</f>
        <v>0</v>
      </c>
      <c r="P471" s="40">
        <f>VLOOKUP(D471,[1]apoio_Preços_MGS!$A$6:$AN$238,21,FALSE)</f>
        <v>0</v>
      </c>
      <c r="Q471" s="40">
        <f>VLOOKUP(D471,[1]apoio_Preços_MGS!$A$6:$AN$238,22,FALSE)</f>
        <v>0</v>
      </c>
      <c r="R471" s="40">
        <f>VLOOKUP(D471,[1]apoio_Preços_MGS!$A$6:$AN$238,23,FALSE)</f>
        <v>0</v>
      </c>
      <c r="S471" s="40">
        <f>VLOOKUP(D471,[1]apoio_Preços_MGS!$A$6:$AN$238,24,FALSE)</f>
        <v>0</v>
      </c>
      <c r="T471" s="40">
        <f>VLOOKUP(D471,[1]apoio_Preços_MGS!$A$6:$AN$238,25,FALSE)</f>
        <v>0</v>
      </c>
      <c r="U471" s="40">
        <f t="shared" si="247"/>
        <v>2435.3723992424261</v>
      </c>
      <c r="V471" s="41">
        <v>0.81799999999999995</v>
      </c>
      <c r="W471" s="40">
        <f t="shared" si="248"/>
        <v>1992.1346225803045</v>
      </c>
      <c r="X471" s="40">
        <f>VLOOKUP(D471,[1]apoio_Preços_MGS!$A$6:$AN$238,29,FALSE)</f>
        <v>30.014545454545452</v>
      </c>
      <c r="Y471" s="40">
        <f>VLOOKUP(D471,[1]apoio_Preços_MGS!$A$6:$AN$238,30,FALSE)</f>
        <v>237.42725420875416</v>
      </c>
      <c r="Z471" s="40">
        <f t="shared" si="239"/>
        <v>267.44179966329961</v>
      </c>
      <c r="AA471" s="40">
        <f>VLOOKUP(D471,[1]apoio_Preços_MGS!$A$6:$AN$238,32,FALSE)</f>
        <v>4.6759150065454573</v>
      </c>
      <c r="AB471" s="40">
        <f>VLOOKUP(D471,[1]apoio_Preços_MGS!$A$6:$AN$238,33,FALSE)</f>
        <v>244.28490909090917</v>
      </c>
      <c r="AC471" s="41">
        <f>VLOOKUP(D471,[1]apoio_Preços_MGS!$A$6:$AN$238,34,FALSE)</f>
        <v>0</v>
      </c>
      <c r="AD471" s="40">
        <f>(U471+W471+Z471+AB471+AA471+VLOOKUP(C471,[1]apoio_Prec_Folha!$A:$S,7,FALSE))*AC471</f>
        <v>0</v>
      </c>
      <c r="AE471" s="42">
        <f>VLOOKUP(D471,[1]apoio_Preços_MGS!$A$6:$AN$238,36,FALSE)</f>
        <v>7.0000000000000007E-2</v>
      </c>
      <c r="AF471" s="40">
        <f>(U471+W471+Z471+AB471+AD471+AA471+VLOOKUP(C471,[1]apoio_Prec_Folha!$A:$S,7,FALSE))*AE471</f>
        <v>384.47483519084403</v>
      </c>
      <c r="AG471" s="40">
        <f t="shared" si="240"/>
        <v>5328.38</v>
      </c>
      <c r="AH471" s="43">
        <f t="shared" si="241"/>
        <v>6142.23</v>
      </c>
      <c r="AI471" s="43">
        <f t="shared" si="242"/>
        <v>24568.92</v>
      </c>
      <c r="AJ471" s="43">
        <f t="shared" si="243"/>
        <v>1474135.2</v>
      </c>
      <c r="AK471" s="44">
        <f>VLOOKUP(D471,[1]apoio_Preços_MGS!$A$6:$AN$238,39,FALSE)</f>
        <v>181.81818181818184</v>
      </c>
      <c r="AL471" s="44">
        <f>IF(J471="demais municípios",VLOOKUP(D471,[1]apoio_Preços_MGS!$A$6:$AN$238,39,FALSE),0)</f>
        <v>181.81818181818184</v>
      </c>
      <c r="AM471" s="44">
        <v>0</v>
      </c>
      <c r="AN471" s="45">
        <f t="shared" si="261"/>
        <v>727.27272727272737</v>
      </c>
      <c r="AO471" s="44">
        <f>VLOOKUP(D471,[1]apoio_Preços_MGS!$A$6:$AN$238,40,FALSE)</f>
        <v>648.33000000000004</v>
      </c>
      <c r="AP471" s="44">
        <f>IF(J471="demais municípios",VLOOKUP(D471,[1]apoio_Preços_MGS!$A$6:$AN$238,40,FALSE),0)</f>
        <v>648.33000000000004</v>
      </c>
      <c r="AQ471" s="44">
        <v>0</v>
      </c>
      <c r="AR471" s="45">
        <f t="shared" si="262"/>
        <v>2593.3200000000002</v>
      </c>
      <c r="AS471" s="45">
        <f t="shared" si="255"/>
        <v>3320.5927272727276</v>
      </c>
      <c r="AT471" s="45">
        <f t="shared" si="256"/>
        <v>199235.56363636366</v>
      </c>
      <c r="AU471" s="62"/>
      <c r="AV471" s="46"/>
      <c r="AW471" s="47"/>
      <c r="AX471" s="48"/>
      <c r="AY471" s="49"/>
      <c r="BA471" s="48"/>
    </row>
    <row r="472" spans="1:53" ht="19.5" customHeight="1" x14ac:dyDescent="0.25">
      <c r="A472" s="33" t="str">
        <f t="shared" si="253"/>
        <v>63665400,05</v>
      </c>
      <c r="B472" s="33" t="str">
        <f t="shared" si="254"/>
        <v>2470,05</v>
      </c>
      <c r="C472" s="34" t="str">
        <f>VLOOKUP(D472,[1]apoio_Preços_MGS!$A$6:$B$238,2,FALSE)</f>
        <v>ORIENTADOR AMBIENTAL</v>
      </c>
      <c r="D472" s="35">
        <v>247</v>
      </c>
      <c r="E472" s="33" t="str">
        <f>VLOOKUP(D472,[1]apoio_Preços_MGS!$A$6:$F$238,6,FALSE)</f>
        <v>ORIENTADOR AMBIENTAL - DIARISTA DIURNO - 40H</v>
      </c>
      <c r="F472" s="36">
        <f>IFERROR(VLOOKUP(D472,'[1]apoio_cód catmas'!$B$2:$C$863,2,FALSE),0)</f>
        <v>63665</v>
      </c>
      <c r="G472" s="33" t="str">
        <f>IF(H472="N/A",VLOOKUP(F472&amp;40,'[1]apoio_cód catmas'!$A$1:$G$233,4,FALSE),VLOOKUP(F472&amp;H472,'[1]apoio_cód catmas'!$A$1:$G$233,4,FALSE))</f>
        <v>ORIENTADOR AMBIENTAL - 40H</v>
      </c>
      <c r="H472" s="36">
        <v>40</v>
      </c>
      <c r="I472" s="37">
        <v>0.05</v>
      </c>
      <c r="J472" s="38" t="s">
        <v>46</v>
      </c>
      <c r="K472" s="39">
        <f>32-K473-1</f>
        <v>20</v>
      </c>
      <c r="L472" s="39">
        <f t="shared" si="238"/>
        <v>1200</v>
      </c>
      <c r="M472" s="40">
        <f>VLOOKUP(D472,[1]apoio_Preços_MGS!$A$6:$AN$238,18,FALSE)</f>
        <v>2435.3723992424261</v>
      </c>
      <c r="N472" s="40">
        <f>VLOOKUP(D472,[1]apoio_Preços_MGS!$A$6:$AN$238,19,FALSE)</f>
        <v>0</v>
      </c>
      <c r="O472" s="40">
        <f>VLOOKUP(D472,[1]apoio_Preços_MGS!$A$6:$AN$238,20,FALSE)</f>
        <v>0</v>
      </c>
      <c r="P472" s="40">
        <f>VLOOKUP(D472,[1]apoio_Preços_MGS!$A$6:$AN$238,21,FALSE)</f>
        <v>0</v>
      </c>
      <c r="Q472" s="40">
        <f>VLOOKUP(D472,[1]apoio_Preços_MGS!$A$6:$AN$238,22,FALSE)</f>
        <v>0</v>
      </c>
      <c r="R472" s="40">
        <f>VLOOKUP(D472,[1]apoio_Preços_MGS!$A$6:$AN$238,23,FALSE)</f>
        <v>0</v>
      </c>
      <c r="S472" s="40">
        <f>VLOOKUP(D472,[1]apoio_Preços_MGS!$A$6:$AN$238,24,FALSE)</f>
        <v>0</v>
      </c>
      <c r="T472" s="40">
        <f>VLOOKUP(D472,[1]apoio_Preços_MGS!$A$6:$AN$238,25,FALSE)</f>
        <v>0</v>
      </c>
      <c r="U472" s="40">
        <f t="shared" si="247"/>
        <v>2435.3723992424261</v>
      </c>
      <c r="V472" s="41">
        <v>0.81799999999999995</v>
      </c>
      <c r="W472" s="40">
        <f t="shared" si="248"/>
        <v>1992.1346225803045</v>
      </c>
      <c r="X472" s="40">
        <f>VLOOKUP(D472,[1]apoio_Preços_MGS!$A$6:$AN$238,29,FALSE)</f>
        <v>30.014545454545452</v>
      </c>
      <c r="Y472" s="40">
        <f>VLOOKUP(D472,[1]apoio_Preços_MGS!$A$6:$AN$238,30,FALSE)</f>
        <v>237.42725420875416</v>
      </c>
      <c r="Z472" s="40">
        <f t="shared" si="239"/>
        <v>267.44179966329961</v>
      </c>
      <c r="AA472" s="40">
        <f>VLOOKUP(D472,[1]apoio_Preços_MGS!$A$6:$AN$238,32,FALSE)</f>
        <v>4.6759150065454573</v>
      </c>
      <c r="AB472" s="40">
        <f>VLOOKUP(D472,[1]apoio_Preços_MGS!$A$6:$AN$238,33,FALSE)</f>
        <v>244.28490909090917</v>
      </c>
      <c r="AC472" s="41">
        <f>VLOOKUP(D472,[1]apoio_Preços_MGS!$A$6:$AN$238,34,FALSE)</f>
        <v>0</v>
      </c>
      <c r="AD472" s="40">
        <f>(U472+W472+Z472+AB472+AA472+VLOOKUP(C472,[1]apoio_Prec_Folha!$A:$S,7,FALSE))*AC472</f>
        <v>0</v>
      </c>
      <c r="AE472" s="42">
        <f>VLOOKUP(D472,[1]apoio_Preços_MGS!$A$6:$AN$238,36,FALSE)</f>
        <v>7.0000000000000007E-2</v>
      </c>
      <c r="AF472" s="40">
        <f>(U472+W472+Z472+AB472+AD472+AA472+VLOOKUP(C472,[1]apoio_Prec_Folha!$A:$S,7,FALSE))*AE472</f>
        <v>384.47483519084403</v>
      </c>
      <c r="AG472" s="40">
        <f t="shared" si="240"/>
        <v>5328.38</v>
      </c>
      <c r="AH472" s="43">
        <f t="shared" si="241"/>
        <v>6213.85</v>
      </c>
      <c r="AI472" s="43">
        <f t="shared" si="242"/>
        <v>124277</v>
      </c>
      <c r="AJ472" s="43">
        <f t="shared" si="243"/>
        <v>7456620</v>
      </c>
      <c r="AK472" s="44">
        <f>VLOOKUP(D472,[1]apoio_Preços_MGS!$A$6:$AN$238,39,FALSE)</f>
        <v>181.81818181818184</v>
      </c>
      <c r="AL472" s="44">
        <f>IF(J472="demais municípios",VLOOKUP(D472,[1]apoio_Preços_MGS!$A$6:$AN$238,39,FALSE),0)</f>
        <v>181.81818181818184</v>
      </c>
      <c r="AM472" s="44">
        <v>0</v>
      </c>
      <c r="AN472" s="45">
        <f t="shared" si="261"/>
        <v>3636.3636363636369</v>
      </c>
      <c r="AO472" s="44">
        <f>VLOOKUP(D472,[1]apoio_Preços_MGS!$A$6:$AN$238,40,FALSE)</f>
        <v>648.33000000000004</v>
      </c>
      <c r="AP472" s="44">
        <f>IF(J472="demais municípios",VLOOKUP(D472,[1]apoio_Preços_MGS!$A$6:$AN$238,40,FALSE),0)</f>
        <v>648.33000000000004</v>
      </c>
      <c r="AQ472" s="44">
        <v>0</v>
      </c>
      <c r="AR472" s="45">
        <f t="shared" si="262"/>
        <v>12966.6</v>
      </c>
      <c r="AS472" s="45">
        <f t="shared" si="255"/>
        <v>16602.963636363638</v>
      </c>
      <c r="AT472" s="45">
        <f t="shared" si="256"/>
        <v>996177.81818181835</v>
      </c>
      <c r="AU472" s="62"/>
      <c r="AV472" s="46"/>
      <c r="AW472" s="47"/>
      <c r="AX472" s="48"/>
      <c r="AY472" s="49"/>
      <c r="BA472" s="48"/>
    </row>
    <row r="473" spans="1:53" ht="19.5" customHeight="1" x14ac:dyDescent="0.25">
      <c r="A473" s="33" t="str">
        <f t="shared" si="253"/>
        <v>63665400,05</v>
      </c>
      <c r="B473" s="33" t="str">
        <f t="shared" si="254"/>
        <v>2470,05</v>
      </c>
      <c r="C473" s="34" t="str">
        <f>VLOOKUP(D473,[1]apoio_Preços_MGS!$A$6:$B$238,2,FALSE)</f>
        <v>ORIENTADOR AMBIENTAL</v>
      </c>
      <c r="D473" s="35">
        <v>247</v>
      </c>
      <c r="E473" s="33" t="str">
        <f>VLOOKUP(D473,[1]apoio_Preços_MGS!$A$6:$F$238,6,FALSE)</f>
        <v>ORIENTADOR AMBIENTAL - DIARISTA DIURNO - 40H</v>
      </c>
      <c r="F473" s="36">
        <f>IFERROR(VLOOKUP(D473,'[1]apoio_cód catmas'!$B$2:$C$863,2,FALSE),0)</f>
        <v>63665</v>
      </c>
      <c r="G473" s="33" t="str">
        <f>IF(H473="N/A",VLOOKUP(F473&amp;40,'[1]apoio_cód catmas'!$A$1:$G$233,4,FALSE),VLOOKUP(F473&amp;H473,'[1]apoio_cód catmas'!$A$1:$G$233,4,FALSE))</f>
        <v>ORIENTADOR AMBIENTAL - 40H</v>
      </c>
      <c r="H473" s="36">
        <v>40</v>
      </c>
      <c r="I473" s="37">
        <v>0.05</v>
      </c>
      <c r="J473" s="38" t="s">
        <v>47</v>
      </c>
      <c r="K473" s="39">
        <v>11</v>
      </c>
      <c r="L473" s="39">
        <f t="shared" si="238"/>
        <v>660</v>
      </c>
      <c r="M473" s="40">
        <f>VLOOKUP(D473,[1]apoio_Preços_MGS!$A$6:$AN$238,18,FALSE)</f>
        <v>2435.3723992424261</v>
      </c>
      <c r="N473" s="40">
        <f>VLOOKUP(D473,[1]apoio_Preços_MGS!$A$6:$AN$238,19,FALSE)</f>
        <v>0</v>
      </c>
      <c r="O473" s="40">
        <f>VLOOKUP(D473,[1]apoio_Preços_MGS!$A$6:$AN$238,20,FALSE)</f>
        <v>0</v>
      </c>
      <c r="P473" s="40">
        <f>VLOOKUP(D473,[1]apoio_Preços_MGS!$A$6:$AN$238,21,FALSE)</f>
        <v>0</v>
      </c>
      <c r="Q473" s="40">
        <f>VLOOKUP(D473,[1]apoio_Preços_MGS!$A$6:$AN$238,22,FALSE)</f>
        <v>0</v>
      </c>
      <c r="R473" s="40">
        <f>VLOOKUP(D473,[1]apoio_Preços_MGS!$A$6:$AN$238,23,FALSE)</f>
        <v>0</v>
      </c>
      <c r="S473" s="40">
        <f>VLOOKUP(D473,[1]apoio_Preços_MGS!$A$6:$AN$238,24,FALSE)</f>
        <v>0</v>
      </c>
      <c r="T473" s="40">
        <f>VLOOKUP(D473,[1]apoio_Preços_MGS!$A$6:$AN$238,25,FALSE)</f>
        <v>0</v>
      </c>
      <c r="U473" s="40">
        <f t="shared" si="247"/>
        <v>2435.3723992424261</v>
      </c>
      <c r="V473" s="41">
        <v>0.81799999999999995</v>
      </c>
      <c r="W473" s="40">
        <f t="shared" si="248"/>
        <v>1992.1346225803045</v>
      </c>
      <c r="X473" s="40">
        <f>VLOOKUP(D473,[1]apoio_Preços_MGS!$A$6:$AN$238,29,FALSE)</f>
        <v>30.014545454545452</v>
      </c>
      <c r="Y473" s="40">
        <f>VLOOKUP(D473,[1]apoio_Preços_MGS!$A$6:$AN$238,30,FALSE)</f>
        <v>237.42725420875416</v>
      </c>
      <c r="Z473" s="40">
        <f t="shared" si="239"/>
        <v>267.44179966329961</v>
      </c>
      <c r="AA473" s="40">
        <f>VLOOKUP(D473,[1]apoio_Preços_MGS!$A$6:$AN$238,32,FALSE)</f>
        <v>4.6759150065454573</v>
      </c>
      <c r="AB473" s="40">
        <f>VLOOKUP(D473,[1]apoio_Preços_MGS!$A$6:$AN$238,33,FALSE)</f>
        <v>244.28490909090917</v>
      </c>
      <c r="AC473" s="41">
        <f>VLOOKUP(D473,[1]apoio_Preços_MGS!$A$6:$AN$238,34,FALSE)</f>
        <v>0</v>
      </c>
      <c r="AD473" s="40">
        <f>(U473+W473+Z473+AB473+AA473+VLOOKUP(C473,[1]apoio_Prec_Folha!$A:$S,7,FALSE))*AC473</f>
        <v>0</v>
      </c>
      <c r="AE473" s="42">
        <f>VLOOKUP(D473,[1]apoio_Preços_MGS!$A$6:$AN$238,36,FALSE)</f>
        <v>7.0000000000000007E-2</v>
      </c>
      <c r="AF473" s="40">
        <f>(U473+W473+Z473+AB473+AD473+AA473+VLOOKUP(C473,[1]apoio_Prec_Folha!$A:$S,7,FALSE))*AE473</f>
        <v>384.47483519084403</v>
      </c>
      <c r="AG473" s="40">
        <f t="shared" si="240"/>
        <v>5328.38</v>
      </c>
      <c r="AH473" s="43">
        <f t="shared" si="241"/>
        <v>6213.85</v>
      </c>
      <c r="AI473" s="43">
        <f t="shared" si="242"/>
        <v>68352.350000000006</v>
      </c>
      <c r="AJ473" s="43">
        <f t="shared" si="243"/>
        <v>4101141.0000000005</v>
      </c>
      <c r="AK473" s="44">
        <f>VLOOKUP(D473,[1]apoio_Preços_MGS!$A$6:$AN$238,39,FALSE)</f>
        <v>181.81818181818184</v>
      </c>
      <c r="AL473" s="44">
        <f>IF(J473="demais municípios",VLOOKUP(D473,[1]apoio_Preços_MGS!$A$6:$AN$238,39,FALSE),0)</f>
        <v>0</v>
      </c>
      <c r="AM473" s="44">
        <f>TRUNC(ROUND(($I473)/(1-($I473)),5)*VLOOKUP(D473,[1]apoio_Preços_MGS!$A$6:$AN$238,39,FALSE)+VLOOKUP(D473,[1]apoio_Preços_MGS!$A$6:$AN$238,39,FALSE),2)</f>
        <v>191.38</v>
      </c>
      <c r="AN473" s="45">
        <f t="shared" si="257"/>
        <v>2105.1799999999998</v>
      </c>
      <c r="AO473" s="44">
        <f>VLOOKUP(D473,[1]apoio_Preços_MGS!$A$6:$AN$238,40,FALSE)</f>
        <v>648.33000000000004</v>
      </c>
      <c r="AP473" s="44">
        <f>IF(J473="demais municípios",VLOOKUP(D473,[1]apoio_Preços_MGS!$A$6:$AN$238,40,FALSE),0)</f>
        <v>0</v>
      </c>
      <c r="AQ473" s="44">
        <f>TRUNC(ROUND(($I473)/(1-($I473)),5)*VLOOKUP(D473,[1]apoio_Preços_MGS!$A$6:$AN$238,40,FALSE)+VLOOKUP(D473,[1]apoio_Preços_MGS!$A$6:$AN$238,40,FALSE),2)</f>
        <v>682.45</v>
      </c>
      <c r="AR473" s="45">
        <f t="shared" si="258"/>
        <v>7506.9500000000007</v>
      </c>
      <c r="AS473" s="45">
        <f t="shared" si="255"/>
        <v>9612.130000000001</v>
      </c>
      <c r="AT473" s="45">
        <f t="shared" si="256"/>
        <v>576727.80000000005</v>
      </c>
      <c r="AU473" s="62"/>
      <c r="AV473" s="46"/>
      <c r="AW473" s="47"/>
      <c r="AX473" s="48"/>
      <c r="AY473" s="49"/>
      <c r="BA473" s="48"/>
    </row>
    <row r="474" spans="1:53" ht="19.5" customHeight="1" x14ac:dyDescent="0.25">
      <c r="A474" s="33" t="str">
        <f t="shared" si="253"/>
        <v>70157440,03</v>
      </c>
      <c r="B474" s="33" t="str">
        <f t="shared" si="254"/>
        <v>4020,03</v>
      </c>
      <c r="C474" s="34" t="str">
        <f>VLOOKUP(D474,[1]apoio_Preços_MGS!$A$6:$B$238,2,FALSE)</f>
        <v>PORTEIRO</v>
      </c>
      <c r="D474" s="35">
        <v>402</v>
      </c>
      <c r="E474" s="33" t="str">
        <f>VLOOKUP(D474,[1]apoio_Preços_MGS!$A$6:$F$238,6,FALSE)</f>
        <v>PORTEIRO - (PERIC.) - 12x36 DIURNO - 44H</v>
      </c>
      <c r="F474" s="36">
        <f>IFERROR(VLOOKUP(D474,'[1]apoio_cód catmas'!$B$2:$C$863,2,FALSE),0)</f>
        <v>70157</v>
      </c>
      <c r="G474" s="33" t="str">
        <f>IF(H474="N/A",VLOOKUP(F474&amp;40,'[1]apoio_cód catmas'!$A$1:$G$233,4,FALSE),VLOOKUP(F474&amp;H474,'[1]apoio_cód catmas'!$A$1:$G$233,4,FALSE))</f>
        <v>PORTEIRO - 12X36 DIURNO - (PERICULOSIDADE) - 44H</v>
      </c>
      <c r="H474" s="36">
        <v>44</v>
      </c>
      <c r="I474" s="37">
        <v>0.03</v>
      </c>
      <c r="J474" s="38" t="s">
        <v>46</v>
      </c>
      <c r="K474" s="39">
        <v>6</v>
      </c>
      <c r="L474" s="39">
        <f t="shared" si="238"/>
        <v>360</v>
      </c>
      <c r="M474" s="40">
        <f>VLOOKUP(D474,[1]apoio_Preços_MGS!$A$6:$AN$238,18,FALSE)</f>
        <v>2357.0108214597344</v>
      </c>
      <c r="N474" s="40">
        <f>VLOOKUP(D474,[1]apoio_Preços_MGS!$A$6:$AN$238,19,FALSE)</f>
        <v>707.10324643792035</v>
      </c>
      <c r="O474" s="40">
        <f>VLOOKUP(D474,[1]apoio_Preços_MGS!$A$6:$AN$238,20,FALSE)</f>
        <v>0</v>
      </c>
      <c r="P474" s="40">
        <f>VLOOKUP(D474,[1]apoio_Preços_MGS!$A$6:$AN$238,21,FALSE)</f>
        <v>0</v>
      </c>
      <c r="Q474" s="40">
        <f>VLOOKUP(D474,[1]apoio_Preços_MGS!$A$6:$AN$238,22,FALSE)</f>
        <v>0</v>
      </c>
      <c r="R474" s="40">
        <f>VLOOKUP(D474,[1]apoio_Preços_MGS!$A$6:$AN$238,23,FALSE)</f>
        <v>328.29793584617732</v>
      </c>
      <c r="S474" s="40">
        <f>VLOOKUP(D474,[1]apoio_Preços_MGS!$A$6:$AN$238,24,FALSE)</f>
        <v>0</v>
      </c>
      <c r="T474" s="40">
        <f>VLOOKUP(D474,[1]apoio_Preços_MGS!$A$6:$AN$238,25,FALSE)</f>
        <v>4.2557139831911872</v>
      </c>
      <c r="U474" s="40">
        <f t="shared" si="247"/>
        <v>3396.6677177270235</v>
      </c>
      <c r="V474" s="41">
        <v>0.81799999999999995</v>
      </c>
      <c r="W474" s="40">
        <f t="shared" si="248"/>
        <v>2778.4741931007052</v>
      </c>
      <c r="X474" s="40">
        <f>VLOOKUP(D474,[1]apoio_Preços_MGS!$A$6:$AN$238,29,FALSE)</f>
        <v>52.672499999999992</v>
      </c>
      <c r="Y474" s="40">
        <f>VLOOKUP(D474,[1]apoio_Preços_MGS!$A$6:$AN$238,30,FALSE)</f>
        <v>1.721363914713578</v>
      </c>
      <c r="Z474" s="40">
        <f t="shared" si="239"/>
        <v>54.39386391471357</v>
      </c>
      <c r="AA474" s="40">
        <f>VLOOKUP(D474,[1]apoio_Preços_MGS!$A$6:$AN$238,32,FALSE)</f>
        <v>4.5254607772026896</v>
      </c>
      <c r="AB474" s="40">
        <f>VLOOKUP(D474,[1]apoio_Preços_MGS!$A$6:$AN$238,33,FALSE)</f>
        <v>114.60128756822279</v>
      </c>
      <c r="AC474" s="41">
        <f>VLOOKUP(D474,[1]apoio_Preços_MGS!$A$6:$AN$238,34,FALSE)</f>
        <v>3.403517673411495E-2</v>
      </c>
      <c r="AD474" s="40">
        <f>(U474+W474+Z474+AB474+AA474+VLOOKUP(C474,[1]apoio_Prec_Folha!$A:$S,7,FALSE))*AC474</f>
        <v>234.69257336727355</v>
      </c>
      <c r="AE474" s="42">
        <f>VLOOKUP(D474,[1]apoio_Preços_MGS!$A$6:$AN$238,36,FALSE)</f>
        <v>7.0000000000000007E-2</v>
      </c>
      <c r="AF474" s="40">
        <f>(U474+W474+Z474+AB474+AD474+AA474+VLOOKUP(C474,[1]apoio_Prec_Folha!$A:$S,7,FALSE))*AE474</f>
        <v>499.11967530855998</v>
      </c>
      <c r="AG474" s="40">
        <f t="shared" si="240"/>
        <v>7082.47</v>
      </c>
      <c r="AH474" s="43">
        <f t="shared" si="241"/>
        <v>8071.18</v>
      </c>
      <c r="AI474" s="43">
        <f t="shared" si="242"/>
        <v>48427.08</v>
      </c>
      <c r="AJ474" s="43">
        <f t="shared" si="243"/>
        <v>2905624.8000000003</v>
      </c>
      <c r="AK474" s="44">
        <f>VLOOKUP(D474,[1]apoio_Preços_MGS!$A$6:$AN$238,39,FALSE)</f>
        <v>200.00000000000003</v>
      </c>
      <c r="AL474" s="44">
        <f>IF(J474="demais municípios",VLOOKUP(D474,[1]apoio_Preços_MGS!$A$6:$AN$238,39,FALSE),0)</f>
        <v>200.00000000000003</v>
      </c>
      <c r="AM474" s="44">
        <v>0</v>
      </c>
      <c r="AN474" s="45">
        <f t="shared" ref="AN474:AN513" si="263">AK474*K474</f>
        <v>1200.0000000000002</v>
      </c>
      <c r="AO474" s="44">
        <f>VLOOKUP(D474,[1]apoio_Preços_MGS!$A$6:$AN$238,40,FALSE)</f>
        <v>546.91999999999996</v>
      </c>
      <c r="AP474" s="44">
        <f>IF(J474="demais municípios",VLOOKUP(D474,[1]apoio_Preços_MGS!$A$6:$AN$238,40,FALSE),0)</f>
        <v>546.91999999999996</v>
      </c>
      <c r="AQ474" s="44">
        <v>0</v>
      </c>
      <c r="AR474" s="45">
        <f t="shared" ref="AR474:AR513" si="264">AO474*K474</f>
        <v>3281.5199999999995</v>
      </c>
      <c r="AS474" s="45">
        <f t="shared" si="255"/>
        <v>4481.5199999999995</v>
      </c>
      <c r="AT474" s="45">
        <f t="shared" si="256"/>
        <v>268891.19999999995</v>
      </c>
      <c r="AU474" s="62"/>
      <c r="AV474" s="46"/>
      <c r="AW474" s="47"/>
      <c r="AX474" s="48"/>
      <c r="AY474" s="49"/>
      <c r="BA474" s="48"/>
    </row>
    <row r="475" spans="1:53" ht="19.5" customHeight="1" x14ac:dyDescent="0.25">
      <c r="A475" s="33" t="str">
        <f t="shared" si="253"/>
        <v>64416440,02</v>
      </c>
      <c r="B475" s="33" t="str">
        <f t="shared" si="254"/>
        <v>1680,02</v>
      </c>
      <c r="C475" s="34" t="str">
        <f>VLOOKUP(D475,[1]apoio_Preços_MGS!$A$6:$B$238,2,FALSE)</f>
        <v>PORTEIRO</v>
      </c>
      <c r="D475" s="35">
        <v>168</v>
      </c>
      <c r="E475" s="33" t="str">
        <f>VLOOKUP(D475,[1]apoio_Preços_MGS!$A$6:$F$238,6,FALSE)</f>
        <v>PORTEIRO - 12x36 DIURNO - 44H</v>
      </c>
      <c r="F475" s="36">
        <f>IFERROR(VLOOKUP(D475,'[1]apoio_cód catmas'!$B$2:$C$863,2,FALSE),0)</f>
        <v>64416</v>
      </c>
      <c r="G475" s="33" t="str">
        <f>IF(H475="N/A",VLOOKUP(F475&amp;40,'[1]apoio_cód catmas'!$A$1:$G$233,4,FALSE),VLOOKUP(F475&amp;H475,'[1]apoio_cód catmas'!$A$1:$G$233,4,FALSE))</f>
        <v>PORTEIRO - 12X36 DIURNO - 44H</v>
      </c>
      <c r="H475" s="36">
        <v>44</v>
      </c>
      <c r="I475" s="37">
        <v>0.02</v>
      </c>
      <c r="J475" s="38" t="s">
        <v>46</v>
      </c>
      <c r="K475" s="39">
        <v>85</v>
      </c>
      <c r="L475" s="39">
        <f t="shared" si="238"/>
        <v>5100</v>
      </c>
      <c r="M475" s="40">
        <f>VLOOKUP(D475,[1]apoio_Preços_MGS!$A$6:$AN$238,18,FALSE)</f>
        <v>2357.0108214597344</v>
      </c>
      <c r="N475" s="40">
        <f>VLOOKUP(D475,[1]apoio_Preços_MGS!$A$6:$AN$238,19,FALSE)</f>
        <v>0</v>
      </c>
      <c r="O475" s="40">
        <f>VLOOKUP(D475,[1]apoio_Preços_MGS!$A$6:$AN$238,20,FALSE)</f>
        <v>0</v>
      </c>
      <c r="P475" s="40">
        <f>VLOOKUP(D475,[1]apoio_Preços_MGS!$A$6:$AN$238,21,FALSE)</f>
        <v>0</v>
      </c>
      <c r="Q475" s="40">
        <f>VLOOKUP(D475,[1]apoio_Preços_MGS!$A$6:$AN$238,22,FALSE)</f>
        <v>0</v>
      </c>
      <c r="R475" s="40">
        <f>VLOOKUP(D475,[1]apoio_Preços_MGS!$A$6:$AN$238,23,FALSE)</f>
        <v>252.53687372782872</v>
      </c>
      <c r="S475" s="40">
        <f>VLOOKUP(D475,[1]apoio_Preços_MGS!$A$6:$AN$238,24,FALSE)</f>
        <v>0</v>
      </c>
      <c r="T475" s="40">
        <f>VLOOKUP(D475,[1]apoio_Preços_MGS!$A$6:$AN$238,25,FALSE)</f>
        <v>3.2736261409162979</v>
      </c>
      <c r="U475" s="40">
        <f t="shared" si="247"/>
        <v>2612.8213213284794</v>
      </c>
      <c r="V475" s="41">
        <v>0.81799999999999995</v>
      </c>
      <c r="W475" s="40">
        <f t="shared" si="248"/>
        <v>2137.2878408466959</v>
      </c>
      <c r="X475" s="40">
        <f>VLOOKUP(D475,[1]apoio_Preços_MGS!$A$6:$AN$238,29,FALSE)</f>
        <v>52.672499999999992</v>
      </c>
      <c r="Y475" s="40">
        <f>VLOOKUP(D475,[1]apoio_Preços_MGS!$A$6:$AN$238,30,FALSE)</f>
        <v>1.721363914713578</v>
      </c>
      <c r="Z475" s="40">
        <f t="shared" si="239"/>
        <v>54.39386391471357</v>
      </c>
      <c r="AA475" s="40">
        <f>VLOOKUP(D475,[1]apoio_Preços_MGS!$A$6:$AN$238,32,FALSE)</f>
        <v>4.5254607772026896</v>
      </c>
      <c r="AB475" s="40">
        <f>VLOOKUP(D475,[1]apoio_Preços_MGS!$A$6:$AN$238,33,FALSE)</f>
        <v>114.60128756822279</v>
      </c>
      <c r="AC475" s="41">
        <f>VLOOKUP(D475,[1]apoio_Preços_MGS!$A$6:$AN$238,34,FALSE)</f>
        <v>3.403517673411495E-2</v>
      </c>
      <c r="AD475" s="40">
        <f>(U475+W475+Z475+AB475+AA475+VLOOKUP(C475,[1]apoio_Prec_Folha!$A:$S,7,FALSE))*AC475</f>
        <v>186.1913319149823</v>
      </c>
      <c r="AE475" s="42">
        <f>VLOOKUP(D475,[1]apoio_Preços_MGS!$A$6:$AN$238,36,FALSE)</f>
        <v>7.0000000000000007E-2</v>
      </c>
      <c r="AF475" s="40">
        <f>(U475+W475+Z475+AB475+AD475+AA475+VLOOKUP(C475,[1]apoio_Prec_Folha!$A:$S,7,FALSE))*AE475</f>
        <v>395.97229600122085</v>
      </c>
      <c r="AG475" s="40">
        <f t="shared" si="240"/>
        <v>5505.79</v>
      </c>
      <c r="AH475" s="43">
        <f t="shared" si="241"/>
        <v>6203.7</v>
      </c>
      <c r="AI475" s="43">
        <f t="shared" si="242"/>
        <v>527314.5</v>
      </c>
      <c r="AJ475" s="43">
        <f t="shared" si="243"/>
        <v>31638870</v>
      </c>
      <c r="AK475" s="44">
        <f>VLOOKUP(D475,[1]apoio_Preços_MGS!$A$6:$AN$238,39,FALSE)</f>
        <v>200.00000000000003</v>
      </c>
      <c r="AL475" s="44">
        <f>IF(J475="demais municípios",VLOOKUP(D475,[1]apoio_Preços_MGS!$A$6:$AN$238,39,FALSE),0)</f>
        <v>200.00000000000003</v>
      </c>
      <c r="AM475" s="44">
        <v>0</v>
      </c>
      <c r="AN475" s="45">
        <f t="shared" si="263"/>
        <v>17000.000000000004</v>
      </c>
      <c r="AO475" s="44">
        <f>VLOOKUP(D475,[1]apoio_Preços_MGS!$A$6:$AN$238,40,FALSE)</f>
        <v>546.91999999999996</v>
      </c>
      <c r="AP475" s="44">
        <f>IF(J475="demais municípios",VLOOKUP(D475,[1]apoio_Preços_MGS!$A$6:$AN$238,40,FALSE),0)</f>
        <v>546.91999999999996</v>
      </c>
      <c r="AQ475" s="44">
        <v>0</v>
      </c>
      <c r="AR475" s="45">
        <f t="shared" si="264"/>
        <v>46488.2</v>
      </c>
      <c r="AS475" s="45">
        <f t="shared" si="255"/>
        <v>63488.2</v>
      </c>
      <c r="AT475" s="45">
        <f t="shared" si="256"/>
        <v>3809292</v>
      </c>
      <c r="AU475" s="62"/>
      <c r="AV475" s="46"/>
      <c r="AW475" s="47"/>
      <c r="AX475" s="48"/>
      <c r="AY475" s="49"/>
      <c r="BA475" s="48"/>
    </row>
    <row r="476" spans="1:53" ht="19.5" customHeight="1" x14ac:dyDescent="0.25">
      <c r="A476" s="33" t="str">
        <f t="shared" si="253"/>
        <v>64416440,025</v>
      </c>
      <c r="B476" s="33" t="str">
        <f t="shared" si="254"/>
        <v>1680,025</v>
      </c>
      <c r="C476" s="34" t="str">
        <f>VLOOKUP(D476,[1]apoio_Preços_MGS!$A$6:$B$238,2,FALSE)</f>
        <v>PORTEIRO</v>
      </c>
      <c r="D476" s="35">
        <v>168</v>
      </c>
      <c r="E476" s="33" t="str">
        <f>VLOOKUP(D476,[1]apoio_Preços_MGS!$A$6:$F$238,6,FALSE)</f>
        <v>PORTEIRO - 12x36 DIURNO - 44H</v>
      </c>
      <c r="F476" s="36">
        <f>IFERROR(VLOOKUP(D476,'[1]apoio_cód catmas'!$B$2:$C$863,2,FALSE),0)</f>
        <v>64416</v>
      </c>
      <c r="G476" s="33" t="str">
        <f>IF(H476="N/A",VLOOKUP(F476&amp;40,'[1]apoio_cód catmas'!$A$1:$G$233,4,FALSE),VLOOKUP(F476&amp;H476,'[1]apoio_cód catmas'!$A$1:$G$233,4,FALSE))</f>
        <v>PORTEIRO - 12X36 DIURNO - 44H</v>
      </c>
      <c r="H476" s="36">
        <v>44</v>
      </c>
      <c r="I476" s="37">
        <v>2.5000000000000001E-2</v>
      </c>
      <c r="J476" s="38" t="s">
        <v>46</v>
      </c>
      <c r="K476" s="39">
        <v>4</v>
      </c>
      <c r="L476" s="39">
        <f t="shared" si="238"/>
        <v>240</v>
      </c>
      <c r="M476" s="40">
        <f>VLOOKUP(D476,[1]apoio_Preços_MGS!$A$6:$AN$238,18,FALSE)</f>
        <v>2357.0108214597344</v>
      </c>
      <c r="N476" s="40">
        <f>VLOOKUP(D476,[1]apoio_Preços_MGS!$A$6:$AN$238,19,FALSE)</f>
        <v>0</v>
      </c>
      <c r="O476" s="40">
        <f>VLOOKUP(D476,[1]apoio_Preços_MGS!$A$6:$AN$238,20,FALSE)</f>
        <v>0</v>
      </c>
      <c r="P476" s="40">
        <f>VLOOKUP(D476,[1]apoio_Preços_MGS!$A$6:$AN$238,21,FALSE)</f>
        <v>0</v>
      </c>
      <c r="Q476" s="40">
        <f>VLOOKUP(D476,[1]apoio_Preços_MGS!$A$6:$AN$238,22,FALSE)</f>
        <v>0</v>
      </c>
      <c r="R476" s="40">
        <f>VLOOKUP(D476,[1]apoio_Preços_MGS!$A$6:$AN$238,23,FALSE)</f>
        <v>252.53687372782872</v>
      </c>
      <c r="S476" s="40">
        <f>VLOOKUP(D476,[1]apoio_Preços_MGS!$A$6:$AN$238,24,FALSE)</f>
        <v>0</v>
      </c>
      <c r="T476" s="40">
        <f>VLOOKUP(D476,[1]apoio_Preços_MGS!$A$6:$AN$238,25,FALSE)</f>
        <v>3.2736261409162979</v>
      </c>
      <c r="U476" s="40">
        <f t="shared" si="247"/>
        <v>2612.8213213284794</v>
      </c>
      <c r="V476" s="41">
        <v>0.81799999999999995</v>
      </c>
      <c r="W476" s="40">
        <f t="shared" si="248"/>
        <v>2137.2878408466959</v>
      </c>
      <c r="X476" s="40">
        <f>VLOOKUP(D476,[1]apoio_Preços_MGS!$A$6:$AN$238,29,FALSE)</f>
        <v>52.672499999999992</v>
      </c>
      <c r="Y476" s="40">
        <f>VLOOKUP(D476,[1]apoio_Preços_MGS!$A$6:$AN$238,30,FALSE)</f>
        <v>1.721363914713578</v>
      </c>
      <c r="Z476" s="40">
        <f t="shared" si="239"/>
        <v>54.39386391471357</v>
      </c>
      <c r="AA476" s="40">
        <f>VLOOKUP(D476,[1]apoio_Preços_MGS!$A$6:$AN$238,32,FALSE)</f>
        <v>4.5254607772026896</v>
      </c>
      <c r="AB476" s="40">
        <f>VLOOKUP(D476,[1]apoio_Preços_MGS!$A$6:$AN$238,33,FALSE)</f>
        <v>114.60128756822279</v>
      </c>
      <c r="AC476" s="41">
        <f>VLOOKUP(D476,[1]apoio_Preços_MGS!$A$6:$AN$238,34,FALSE)</f>
        <v>3.403517673411495E-2</v>
      </c>
      <c r="AD476" s="40">
        <f>(U476+W476+Z476+AB476+AA476+VLOOKUP(C476,[1]apoio_Prec_Folha!$A:$S,7,FALSE))*AC476</f>
        <v>186.1913319149823</v>
      </c>
      <c r="AE476" s="42">
        <f>VLOOKUP(D476,[1]apoio_Preços_MGS!$A$6:$AN$238,36,FALSE)</f>
        <v>7.0000000000000007E-2</v>
      </c>
      <c r="AF476" s="40">
        <f>(U476+W476+Z476+AB476+AD476+AA476+VLOOKUP(C476,[1]apoio_Prec_Folha!$A:$S,7,FALSE))*AE476</f>
        <v>395.97229600122085</v>
      </c>
      <c r="AG476" s="40">
        <f t="shared" si="240"/>
        <v>5505.79</v>
      </c>
      <c r="AH476" s="43">
        <f t="shared" si="241"/>
        <v>6238.83</v>
      </c>
      <c r="AI476" s="43">
        <f t="shared" si="242"/>
        <v>24955.32</v>
      </c>
      <c r="AJ476" s="43">
        <f t="shared" si="243"/>
        <v>1497319.2</v>
      </c>
      <c r="AK476" s="44">
        <f>VLOOKUP(D476,[1]apoio_Preços_MGS!$A$6:$AN$238,39,FALSE)</f>
        <v>200.00000000000003</v>
      </c>
      <c r="AL476" s="44">
        <f>IF(J476="demais municípios",VLOOKUP(D476,[1]apoio_Preços_MGS!$A$6:$AN$238,39,FALSE),0)</f>
        <v>200.00000000000003</v>
      </c>
      <c r="AM476" s="44">
        <v>0</v>
      </c>
      <c r="AN476" s="45">
        <f t="shared" si="263"/>
        <v>800.00000000000011</v>
      </c>
      <c r="AO476" s="44">
        <f>VLOOKUP(D476,[1]apoio_Preços_MGS!$A$6:$AN$238,40,FALSE)</f>
        <v>546.91999999999996</v>
      </c>
      <c r="AP476" s="44">
        <f>IF(J476="demais municípios",VLOOKUP(D476,[1]apoio_Preços_MGS!$A$6:$AN$238,40,FALSE),0)</f>
        <v>546.91999999999996</v>
      </c>
      <c r="AQ476" s="44">
        <v>0</v>
      </c>
      <c r="AR476" s="45">
        <f t="shared" si="264"/>
        <v>2187.6799999999998</v>
      </c>
      <c r="AS476" s="45">
        <f t="shared" si="255"/>
        <v>2987.68</v>
      </c>
      <c r="AT476" s="45">
        <f t="shared" si="256"/>
        <v>179260.79999999999</v>
      </c>
      <c r="AU476" s="62"/>
      <c r="AV476" s="46"/>
      <c r="AW476" s="47"/>
      <c r="AX476" s="48"/>
      <c r="AY476" s="49"/>
      <c r="BA476" s="48"/>
    </row>
    <row r="477" spans="1:53" ht="19.5" customHeight="1" x14ac:dyDescent="0.25">
      <c r="A477" s="33" t="str">
        <f t="shared" si="253"/>
        <v>64416440,03</v>
      </c>
      <c r="B477" s="33" t="str">
        <f t="shared" si="254"/>
        <v>1680,03</v>
      </c>
      <c r="C477" s="34" t="str">
        <f>VLOOKUP(D477,[1]apoio_Preços_MGS!$A$6:$B$238,2,FALSE)</f>
        <v>PORTEIRO</v>
      </c>
      <c r="D477" s="35">
        <v>168</v>
      </c>
      <c r="E477" s="33" t="str">
        <f>VLOOKUP(D477,[1]apoio_Preços_MGS!$A$6:$F$238,6,FALSE)</f>
        <v>PORTEIRO - 12x36 DIURNO - 44H</v>
      </c>
      <c r="F477" s="36">
        <f>IFERROR(VLOOKUP(D477,'[1]apoio_cód catmas'!$B$2:$C$863,2,FALSE),0)</f>
        <v>64416</v>
      </c>
      <c r="G477" s="33" t="str">
        <f>IF(H477="N/A",VLOOKUP(F477&amp;40,'[1]apoio_cód catmas'!$A$1:$G$233,4,FALSE),VLOOKUP(F477&amp;H477,'[1]apoio_cód catmas'!$A$1:$G$233,4,FALSE))</f>
        <v>PORTEIRO - 12X36 DIURNO - 44H</v>
      </c>
      <c r="H477" s="36">
        <v>44</v>
      </c>
      <c r="I477" s="37">
        <v>0.03</v>
      </c>
      <c r="J477" s="38" t="s">
        <v>46</v>
      </c>
      <c r="K477" s="39">
        <f>103-15</f>
        <v>88</v>
      </c>
      <c r="L477" s="39">
        <f t="shared" si="238"/>
        <v>5280</v>
      </c>
      <c r="M477" s="40">
        <f>VLOOKUP(D477,[1]apoio_Preços_MGS!$A$6:$AN$238,18,FALSE)</f>
        <v>2357.0108214597344</v>
      </c>
      <c r="N477" s="40">
        <f>VLOOKUP(D477,[1]apoio_Preços_MGS!$A$6:$AN$238,19,FALSE)</f>
        <v>0</v>
      </c>
      <c r="O477" s="40">
        <f>VLOOKUP(D477,[1]apoio_Preços_MGS!$A$6:$AN$238,20,FALSE)</f>
        <v>0</v>
      </c>
      <c r="P477" s="40">
        <f>VLOOKUP(D477,[1]apoio_Preços_MGS!$A$6:$AN$238,21,FALSE)</f>
        <v>0</v>
      </c>
      <c r="Q477" s="40">
        <f>VLOOKUP(D477,[1]apoio_Preços_MGS!$A$6:$AN$238,22,FALSE)</f>
        <v>0</v>
      </c>
      <c r="R477" s="40">
        <f>VLOOKUP(D477,[1]apoio_Preços_MGS!$A$6:$AN$238,23,FALSE)</f>
        <v>252.53687372782872</v>
      </c>
      <c r="S477" s="40">
        <f>VLOOKUP(D477,[1]apoio_Preços_MGS!$A$6:$AN$238,24,FALSE)</f>
        <v>0</v>
      </c>
      <c r="T477" s="40">
        <f>VLOOKUP(D477,[1]apoio_Preços_MGS!$A$6:$AN$238,25,FALSE)</f>
        <v>3.2736261409162979</v>
      </c>
      <c r="U477" s="40">
        <f t="shared" si="247"/>
        <v>2612.8213213284794</v>
      </c>
      <c r="V477" s="41">
        <v>0.81799999999999995</v>
      </c>
      <c r="W477" s="40">
        <f t="shared" si="248"/>
        <v>2137.2878408466959</v>
      </c>
      <c r="X477" s="40">
        <f>VLOOKUP(D477,[1]apoio_Preços_MGS!$A$6:$AN$238,29,FALSE)</f>
        <v>52.672499999999992</v>
      </c>
      <c r="Y477" s="40">
        <f>VLOOKUP(D477,[1]apoio_Preços_MGS!$A$6:$AN$238,30,FALSE)</f>
        <v>1.721363914713578</v>
      </c>
      <c r="Z477" s="40">
        <f t="shared" si="239"/>
        <v>54.39386391471357</v>
      </c>
      <c r="AA477" s="40">
        <f>VLOOKUP(D477,[1]apoio_Preços_MGS!$A$6:$AN$238,32,FALSE)</f>
        <v>4.5254607772026896</v>
      </c>
      <c r="AB477" s="40">
        <f>VLOOKUP(D477,[1]apoio_Preços_MGS!$A$6:$AN$238,33,FALSE)</f>
        <v>114.60128756822279</v>
      </c>
      <c r="AC477" s="41">
        <f>VLOOKUP(D477,[1]apoio_Preços_MGS!$A$6:$AN$238,34,FALSE)</f>
        <v>3.403517673411495E-2</v>
      </c>
      <c r="AD477" s="40">
        <f>(U477+W477+Z477+AB477+AA477+VLOOKUP(C477,[1]apoio_Prec_Folha!$A:$S,7,FALSE))*AC477</f>
        <v>186.1913319149823</v>
      </c>
      <c r="AE477" s="42">
        <f>VLOOKUP(D477,[1]apoio_Preços_MGS!$A$6:$AN$238,36,FALSE)</f>
        <v>7.0000000000000007E-2</v>
      </c>
      <c r="AF477" s="40">
        <f>(U477+W477+Z477+AB477+AD477+AA477+VLOOKUP(C477,[1]apoio_Prec_Folha!$A:$S,7,FALSE))*AE477</f>
        <v>395.97229600122085</v>
      </c>
      <c r="AG477" s="40">
        <f t="shared" si="240"/>
        <v>5505.79</v>
      </c>
      <c r="AH477" s="43">
        <f t="shared" si="241"/>
        <v>6274.39</v>
      </c>
      <c r="AI477" s="43">
        <f t="shared" si="242"/>
        <v>552146.32000000007</v>
      </c>
      <c r="AJ477" s="43">
        <f t="shared" si="243"/>
        <v>33128779.200000003</v>
      </c>
      <c r="AK477" s="44">
        <f>VLOOKUP(D477,[1]apoio_Preços_MGS!$A$6:$AN$238,39,FALSE)</f>
        <v>200.00000000000003</v>
      </c>
      <c r="AL477" s="44">
        <f>IF(J477="demais municípios",VLOOKUP(D477,[1]apoio_Preços_MGS!$A$6:$AN$238,39,FALSE),0)</f>
        <v>200.00000000000003</v>
      </c>
      <c r="AM477" s="44">
        <v>0</v>
      </c>
      <c r="AN477" s="45">
        <f t="shared" si="263"/>
        <v>17600.000000000004</v>
      </c>
      <c r="AO477" s="44">
        <f>VLOOKUP(D477,[1]apoio_Preços_MGS!$A$6:$AN$238,40,FALSE)</f>
        <v>546.91999999999996</v>
      </c>
      <c r="AP477" s="44">
        <f>IF(J477="demais municípios",VLOOKUP(D477,[1]apoio_Preços_MGS!$A$6:$AN$238,40,FALSE),0)</f>
        <v>546.91999999999996</v>
      </c>
      <c r="AQ477" s="44">
        <v>0</v>
      </c>
      <c r="AR477" s="45">
        <f t="shared" si="264"/>
        <v>48128.959999999999</v>
      </c>
      <c r="AS477" s="45">
        <f t="shared" si="255"/>
        <v>65728.960000000006</v>
      </c>
      <c r="AT477" s="45">
        <f t="shared" si="256"/>
        <v>3943737.6000000006</v>
      </c>
      <c r="AU477" s="62"/>
      <c r="AV477" s="46"/>
      <c r="AW477" s="47"/>
      <c r="AX477" s="48"/>
      <c r="AY477" s="49"/>
      <c r="BA477" s="48"/>
    </row>
    <row r="478" spans="1:53" ht="19.5" customHeight="1" x14ac:dyDescent="0.25">
      <c r="A478" s="33" t="str">
        <f t="shared" si="253"/>
        <v>64416440,035</v>
      </c>
      <c r="B478" s="33" t="str">
        <f t="shared" si="254"/>
        <v>1680,035</v>
      </c>
      <c r="C478" s="34" t="str">
        <f>VLOOKUP(D478,[1]apoio_Preços_MGS!$A$6:$B$238,2,FALSE)</f>
        <v>PORTEIRO</v>
      </c>
      <c r="D478" s="35">
        <v>168</v>
      </c>
      <c r="E478" s="33" t="str">
        <f>VLOOKUP(D478,[1]apoio_Preços_MGS!$A$6:$F$238,6,FALSE)</f>
        <v>PORTEIRO - 12x36 DIURNO - 44H</v>
      </c>
      <c r="F478" s="36">
        <f>IFERROR(VLOOKUP(D478,'[1]apoio_cód catmas'!$B$2:$C$863,2,FALSE),0)</f>
        <v>64416</v>
      </c>
      <c r="G478" s="33" t="str">
        <f>IF(H478="N/A",VLOOKUP(F478&amp;40,'[1]apoio_cód catmas'!$A$1:$G$233,4,FALSE),VLOOKUP(F478&amp;H478,'[1]apoio_cód catmas'!$A$1:$G$233,4,FALSE))</f>
        <v>PORTEIRO - 12X36 DIURNO - 44H</v>
      </c>
      <c r="H478" s="36">
        <v>44</v>
      </c>
      <c r="I478" s="37">
        <v>3.5000000000000003E-2</v>
      </c>
      <c r="J478" s="38" t="s">
        <v>46</v>
      </c>
      <c r="K478" s="39">
        <v>28</v>
      </c>
      <c r="L478" s="39">
        <f t="shared" si="238"/>
        <v>1680</v>
      </c>
      <c r="M478" s="40">
        <f>VLOOKUP(D478,[1]apoio_Preços_MGS!$A$6:$AN$238,18,FALSE)</f>
        <v>2357.0108214597344</v>
      </c>
      <c r="N478" s="40">
        <f>VLOOKUP(D478,[1]apoio_Preços_MGS!$A$6:$AN$238,19,FALSE)</f>
        <v>0</v>
      </c>
      <c r="O478" s="40">
        <f>VLOOKUP(D478,[1]apoio_Preços_MGS!$A$6:$AN$238,20,FALSE)</f>
        <v>0</v>
      </c>
      <c r="P478" s="40">
        <f>VLOOKUP(D478,[1]apoio_Preços_MGS!$A$6:$AN$238,21,FALSE)</f>
        <v>0</v>
      </c>
      <c r="Q478" s="40">
        <f>VLOOKUP(D478,[1]apoio_Preços_MGS!$A$6:$AN$238,22,FALSE)</f>
        <v>0</v>
      </c>
      <c r="R478" s="40">
        <f>VLOOKUP(D478,[1]apoio_Preços_MGS!$A$6:$AN$238,23,FALSE)</f>
        <v>252.53687372782872</v>
      </c>
      <c r="S478" s="40">
        <f>VLOOKUP(D478,[1]apoio_Preços_MGS!$A$6:$AN$238,24,FALSE)</f>
        <v>0</v>
      </c>
      <c r="T478" s="40">
        <f>VLOOKUP(D478,[1]apoio_Preços_MGS!$A$6:$AN$238,25,FALSE)</f>
        <v>3.2736261409162979</v>
      </c>
      <c r="U478" s="40">
        <f t="shared" si="247"/>
        <v>2612.8213213284794</v>
      </c>
      <c r="V478" s="41">
        <v>0.81799999999999995</v>
      </c>
      <c r="W478" s="40">
        <f t="shared" si="248"/>
        <v>2137.2878408466959</v>
      </c>
      <c r="X478" s="40">
        <f>VLOOKUP(D478,[1]apoio_Preços_MGS!$A$6:$AN$238,29,FALSE)</f>
        <v>52.672499999999992</v>
      </c>
      <c r="Y478" s="40">
        <f>VLOOKUP(D478,[1]apoio_Preços_MGS!$A$6:$AN$238,30,FALSE)</f>
        <v>1.721363914713578</v>
      </c>
      <c r="Z478" s="40">
        <f t="shared" si="239"/>
        <v>54.39386391471357</v>
      </c>
      <c r="AA478" s="40">
        <f>VLOOKUP(D478,[1]apoio_Preços_MGS!$A$6:$AN$238,32,FALSE)</f>
        <v>4.5254607772026896</v>
      </c>
      <c r="AB478" s="40">
        <f>VLOOKUP(D478,[1]apoio_Preços_MGS!$A$6:$AN$238,33,FALSE)</f>
        <v>114.60128756822279</v>
      </c>
      <c r="AC478" s="41">
        <f>VLOOKUP(D478,[1]apoio_Preços_MGS!$A$6:$AN$238,34,FALSE)</f>
        <v>3.403517673411495E-2</v>
      </c>
      <c r="AD478" s="40">
        <f>(U478+W478+Z478+AB478+AA478+VLOOKUP(C478,[1]apoio_Prec_Folha!$A:$S,7,FALSE))*AC478</f>
        <v>186.1913319149823</v>
      </c>
      <c r="AE478" s="42">
        <f>VLOOKUP(D478,[1]apoio_Preços_MGS!$A$6:$AN$238,36,FALSE)</f>
        <v>7.0000000000000007E-2</v>
      </c>
      <c r="AF478" s="40">
        <f>(U478+W478+Z478+AB478+AD478+AA478+VLOOKUP(C478,[1]apoio_Prec_Folha!$A:$S,7,FALSE))*AE478</f>
        <v>395.97229600122085</v>
      </c>
      <c r="AG478" s="40">
        <f t="shared" si="240"/>
        <v>5505.79</v>
      </c>
      <c r="AH478" s="43">
        <f t="shared" si="241"/>
        <v>6310.35</v>
      </c>
      <c r="AI478" s="43">
        <f t="shared" si="242"/>
        <v>176689.80000000002</v>
      </c>
      <c r="AJ478" s="43">
        <f t="shared" si="243"/>
        <v>10601388</v>
      </c>
      <c r="AK478" s="44">
        <f>VLOOKUP(D478,[1]apoio_Preços_MGS!$A$6:$AN$238,39,FALSE)</f>
        <v>200.00000000000003</v>
      </c>
      <c r="AL478" s="44">
        <f>IF(J478="demais municípios",VLOOKUP(D478,[1]apoio_Preços_MGS!$A$6:$AN$238,39,FALSE),0)</f>
        <v>200.00000000000003</v>
      </c>
      <c r="AM478" s="44">
        <v>0</v>
      </c>
      <c r="AN478" s="45">
        <f t="shared" si="263"/>
        <v>5600.0000000000009</v>
      </c>
      <c r="AO478" s="44">
        <f>VLOOKUP(D478,[1]apoio_Preços_MGS!$A$6:$AN$238,40,FALSE)</f>
        <v>546.91999999999996</v>
      </c>
      <c r="AP478" s="44">
        <f>IF(J478="demais municípios",VLOOKUP(D478,[1]apoio_Preços_MGS!$A$6:$AN$238,40,FALSE),0)</f>
        <v>546.91999999999996</v>
      </c>
      <c r="AQ478" s="44">
        <v>0</v>
      </c>
      <c r="AR478" s="45">
        <f t="shared" si="264"/>
        <v>15313.759999999998</v>
      </c>
      <c r="AS478" s="45">
        <f t="shared" si="255"/>
        <v>20913.759999999998</v>
      </c>
      <c r="AT478" s="45">
        <f t="shared" si="256"/>
        <v>1254825.5999999999</v>
      </c>
      <c r="AU478" s="62"/>
      <c r="AV478" s="46"/>
      <c r="AW478" s="47"/>
      <c r="AX478" s="48"/>
      <c r="AY478" s="49"/>
      <c r="BA478" s="48"/>
    </row>
    <row r="479" spans="1:53" ht="19.5" customHeight="1" x14ac:dyDescent="0.25">
      <c r="A479" s="33" t="str">
        <f t="shared" si="253"/>
        <v>64416440,04</v>
      </c>
      <c r="B479" s="33" t="str">
        <f t="shared" si="254"/>
        <v>1680,04</v>
      </c>
      <c r="C479" s="34" t="str">
        <f>VLOOKUP(D479,[1]apoio_Preços_MGS!$A$6:$B$238,2,FALSE)</f>
        <v>PORTEIRO</v>
      </c>
      <c r="D479" s="35">
        <v>168</v>
      </c>
      <c r="E479" s="33" t="str">
        <f>VLOOKUP(D479,[1]apoio_Preços_MGS!$A$6:$F$238,6,FALSE)</f>
        <v>PORTEIRO - 12x36 DIURNO - 44H</v>
      </c>
      <c r="F479" s="36">
        <f>IFERROR(VLOOKUP(D479,'[1]apoio_cód catmas'!$B$2:$C$863,2,FALSE),0)</f>
        <v>64416</v>
      </c>
      <c r="G479" s="33" t="str">
        <f>IF(H479="N/A",VLOOKUP(F479&amp;40,'[1]apoio_cód catmas'!$A$1:$G$233,4,FALSE),VLOOKUP(F479&amp;H479,'[1]apoio_cód catmas'!$A$1:$G$233,4,FALSE))</f>
        <v>PORTEIRO - 12X36 DIURNO - 44H</v>
      </c>
      <c r="H479" s="36">
        <v>44</v>
      </c>
      <c r="I479" s="37">
        <v>0.04</v>
      </c>
      <c r="J479" s="38" t="s">
        <v>46</v>
      </c>
      <c r="K479" s="39">
        <v>35</v>
      </c>
      <c r="L479" s="39">
        <f t="shared" si="238"/>
        <v>2100</v>
      </c>
      <c r="M479" s="40">
        <f>VLOOKUP(D479,[1]apoio_Preços_MGS!$A$6:$AN$238,18,FALSE)</f>
        <v>2357.0108214597344</v>
      </c>
      <c r="N479" s="40">
        <f>VLOOKUP(D479,[1]apoio_Preços_MGS!$A$6:$AN$238,19,FALSE)</f>
        <v>0</v>
      </c>
      <c r="O479" s="40">
        <f>VLOOKUP(D479,[1]apoio_Preços_MGS!$A$6:$AN$238,20,FALSE)</f>
        <v>0</v>
      </c>
      <c r="P479" s="40">
        <f>VLOOKUP(D479,[1]apoio_Preços_MGS!$A$6:$AN$238,21,FALSE)</f>
        <v>0</v>
      </c>
      <c r="Q479" s="40">
        <f>VLOOKUP(D479,[1]apoio_Preços_MGS!$A$6:$AN$238,22,FALSE)</f>
        <v>0</v>
      </c>
      <c r="R479" s="40">
        <f>VLOOKUP(D479,[1]apoio_Preços_MGS!$A$6:$AN$238,23,FALSE)</f>
        <v>252.53687372782872</v>
      </c>
      <c r="S479" s="40">
        <f>VLOOKUP(D479,[1]apoio_Preços_MGS!$A$6:$AN$238,24,FALSE)</f>
        <v>0</v>
      </c>
      <c r="T479" s="40">
        <f>VLOOKUP(D479,[1]apoio_Preços_MGS!$A$6:$AN$238,25,FALSE)</f>
        <v>3.2736261409162979</v>
      </c>
      <c r="U479" s="40">
        <f t="shared" si="247"/>
        <v>2612.8213213284794</v>
      </c>
      <c r="V479" s="41">
        <v>0.81799999999999995</v>
      </c>
      <c r="W479" s="40">
        <f t="shared" si="248"/>
        <v>2137.2878408466959</v>
      </c>
      <c r="X479" s="40">
        <f>VLOOKUP(D479,[1]apoio_Preços_MGS!$A$6:$AN$238,29,FALSE)</f>
        <v>52.672499999999992</v>
      </c>
      <c r="Y479" s="40">
        <f>VLOOKUP(D479,[1]apoio_Preços_MGS!$A$6:$AN$238,30,FALSE)</f>
        <v>1.721363914713578</v>
      </c>
      <c r="Z479" s="40">
        <f t="shared" si="239"/>
        <v>54.39386391471357</v>
      </c>
      <c r="AA479" s="40">
        <f>VLOOKUP(D479,[1]apoio_Preços_MGS!$A$6:$AN$238,32,FALSE)</f>
        <v>4.5254607772026896</v>
      </c>
      <c r="AB479" s="40">
        <f>VLOOKUP(D479,[1]apoio_Preços_MGS!$A$6:$AN$238,33,FALSE)</f>
        <v>114.60128756822279</v>
      </c>
      <c r="AC479" s="41">
        <f>VLOOKUP(D479,[1]apoio_Preços_MGS!$A$6:$AN$238,34,FALSE)</f>
        <v>3.403517673411495E-2</v>
      </c>
      <c r="AD479" s="40">
        <f>(U479+W479+Z479+AB479+AA479+VLOOKUP(C479,[1]apoio_Prec_Folha!$A:$S,7,FALSE))*AC479</f>
        <v>186.1913319149823</v>
      </c>
      <c r="AE479" s="42">
        <f>VLOOKUP(D479,[1]apoio_Preços_MGS!$A$6:$AN$238,36,FALSE)</f>
        <v>7.0000000000000007E-2</v>
      </c>
      <c r="AF479" s="40">
        <f>(U479+W479+Z479+AB479+AD479+AA479+VLOOKUP(C479,[1]apoio_Prec_Folha!$A:$S,7,FALSE))*AE479</f>
        <v>395.97229600122085</v>
      </c>
      <c r="AG479" s="40">
        <f t="shared" si="240"/>
        <v>5505.79</v>
      </c>
      <c r="AH479" s="43">
        <f t="shared" si="241"/>
        <v>6346.74</v>
      </c>
      <c r="AI479" s="43">
        <f t="shared" si="242"/>
        <v>222135.9</v>
      </c>
      <c r="AJ479" s="43">
        <f t="shared" si="243"/>
        <v>13328154</v>
      </c>
      <c r="AK479" s="44">
        <f>VLOOKUP(D479,[1]apoio_Preços_MGS!$A$6:$AN$238,39,FALSE)</f>
        <v>200.00000000000003</v>
      </c>
      <c r="AL479" s="44">
        <f>IF(J479="demais municípios",VLOOKUP(D479,[1]apoio_Preços_MGS!$A$6:$AN$238,39,FALSE),0)</f>
        <v>200.00000000000003</v>
      </c>
      <c r="AM479" s="44">
        <v>0</v>
      </c>
      <c r="AN479" s="45">
        <f t="shared" si="263"/>
        <v>7000.0000000000009</v>
      </c>
      <c r="AO479" s="44">
        <f>VLOOKUP(D479,[1]apoio_Preços_MGS!$A$6:$AN$238,40,FALSE)</f>
        <v>546.91999999999996</v>
      </c>
      <c r="AP479" s="44">
        <f>IF(J479="demais municípios",VLOOKUP(D479,[1]apoio_Preços_MGS!$A$6:$AN$238,40,FALSE),0)</f>
        <v>546.91999999999996</v>
      </c>
      <c r="AQ479" s="44">
        <v>0</v>
      </c>
      <c r="AR479" s="45">
        <f t="shared" si="264"/>
        <v>19142.199999999997</v>
      </c>
      <c r="AS479" s="45">
        <f t="shared" si="255"/>
        <v>26142.199999999997</v>
      </c>
      <c r="AT479" s="45">
        <f t="shared" si="256"/>
        <v>1568531.9999999998</v>
      </c>
      <c r="AU479" s="62"/>
      <c r="AV479" s="46"/>
      <c r="AW479" s="47"/>
      <c r="AX479" s="48"/>
      <c r="AY479" s="49"/>
      <c r="BA479" s="48"/>
    </row>
    <row r="480" spans="1:53" ht="19.5" customHeight="1" x14ac:dyDescent="0.25">
      <c r="A480" s="33" t="str">
        <f t="shared" si="253"/>
        <v>64416440,05</v>
      </c>
      <c r="B480" s="33" t="str">
        <f t="shared" si="254"/>
        <v>1680,05</v>
      </c>
      <c r="C480" s="34" t="str">
        <f>VLOOKUP(D480,[1]apoio_Preços_MGS!$A$6:$B$238,2,FALSE)</f>
        <v>PORTEIRO</v>
      </c>
      <c r="D480" s="35">
        <v>168</v>
      </c>
      <c r="E480" s="33" t="str">
        <f>VLOOKUP(D480,[1]apoio_Preços_MGS!$A$6:$F$238,6,FALSE)</f>
        <v>PORTEIRO - 12x36 DIURNO - 44H</v>
      </c>
      <c r="F480" s="36">
        <f>IFERROR(VLOOKUP(D480,'[1]apoio_cód catmas'!$B$2:$C$863,2,FALSE),0)</f>
        <v>64416</v>
      </c>
      <c r="G480" s="33" t="str">
        <f>IF(H480="N/A",VLOOKUP(F480&amp;40,'[1]apoio_cód catmas'!$A$1:$G$233,4,FALSE),VLOOKUP(F480&amp;H480,'[1]apoio_cód catmas'!$A$1:$G$233,4,FALSE))</f>
        <v>PORTEIRO - 12X36 DIURNO - 44H</v>
      </c>
      <c r="H480" s="36">
        <v>44</v>
      </c>
      <c r="I480" s="37">
        <v>0.05</v>
      </c>
      <c r="J480" s="38" t="s">
        <v>46</v>
      </c>
      <c r="K480" s="39">
        <v>15</v>
      </c>
      <c r="L480" s="39">
        <f>K480*56</f>
        <v>840</v>
      </c>
      <c r="M480" s="40">
        <f>VLOOKUP(D480,[1]apoio_Preços_MGS!$A$6:$AN$238,18,FALSE)</f>
        <v>2357.0108214597344</v>
      </c>
      <c r="N480" s="40">
        <f>VLOOKUP(D480,[1]apoio_Preços_MGS!$A$6:$AN$238,19,FALSE)</f>
        <v>0</v>
      </c>
      <c r="O480" s="40">
        <f>VLOOKUP(D480,[1]apoio_Preços_MGS!$A$6:$AN$238,20,FALSE)</f>
        <v>0</v>
      </c>
      <c r="P480" s="40">
        <f>VLOOKUP(D480,[1]apoio_Preços_MGS!$A$6:$AN$238,21,FALSE)</f>
        <v>0</v>
      </c>
      <c r="Q480" s="40">
        <f>VLOOKUP(D480,[1]apoio_Preços_MGS!$A$6:$AN$238,22,FALSE)</f>
        <v>0</v>
      </c>
      <c r="R480" s="40">
        <f>VLOOKUP(D480,[1]apoio_Preços_MGS!$A$6:$AN$238,23,FALSE)</f>
        <v>252.53687372782872</v>
      </c>
      <c r="S480" s="40">
        <f>VLOOKUP(D480,[1]apoio_Preços_MGS!$A$6:$AN$238,24,FALSE)</f>
        <v>0</v>
      </c>
      <c r="T480" s="40">
        <f>VLOOKUP(D480,[1]apoio_Preços_MGS!$A$6:$AN$238,25,FALSE)</f>
        <v>3.2736261409162979</v>
      </c>
      <c r="U480" s="40">
        <f t="shared" si="247"/>
        <v>2612.8213213284794</v>
      </c>
      <c r="V480" s="41">
        <v>0.81799999999999995</v>
      </c>
      <c r="W480" s="40">
        <f t="shared" si="248"/>
        <v>2137.2878408466959</v>
      </c>
      <c r="X480" s="40">
        <f>VLOOKUP(D480,[1]apoio_Preços_MGS!$A$6:$AN$238,29,FALSE)</f>
        <v>52.672499999999992</v>
      </c>
      <c r="Y480" s="40">
        <f>VLOOKUP(D480,[1]apoio_Preços_MGS!$A$6:$AN$238,30,FALSE)</f>
        <v>1.721363914713578</v>
      </c>
      <c r="Z480" s="40">
        <f t="shared" si="239"/>
        <v>54.39386391471357</v>
      </c>
      <c r="AA480" s="40">
        <f>VLOOKUP(D480,[1]apoio_Preços_MGS!$A$6:$AN$238,32,FALSE)</f>
        <v>4.5254607772026896</v>
      </c>
      <c r="AB480" s="40">
        <f>VLOOKUP(D480,[1]apoio_Preços_MGS!$A$6:$AN$238,33,FALSE)</f>
        <v>114.60128756822279</v>
      </c>
      <c r="AC480" s="41">
        <f>VLOOKUP(D480,[1]apoio_Preços_MGS!$A$6:$AN$238,34,FALSE)</f>
        <v>3.403517673411495E-2</v>
      </c>
      <c r="AD480" s="40">
        <f>(U480+W480+Z480+AB480+AA480+VLOOKUP(C480,[1]apoio_Prec_Folha!$A:$S,7,FALSE))*AC480</f>
        <v>186.1913319149823</v>
      </c>
      <c r="AE480" s="42">
        <f>VLOOKUP(D480,[1]apoio_Preços_MGS!$A$6:$AN$238,36,FALSE)</f>
        <v>7.0000000000000007E-2</v>
      </c>
      <c r="AF480" s="40">
        <f>(U480+W480+Z480+AB480+AD480+AA480+VLOOKUP(C480,[1]apoio_Prec_Folha!$A:$S,7,FALSE))*AE480</f>
        <v>395.97229600122085</v>
      </c>
      <c r="AG480" s="40">
        <f t="shared" si="240"/>
        <v>5505.79</v>
      </c>
      <c r="AH480" s="43">
        <f t="shared" si="241"/>
        <v>6420.74</v>
      </c>
      <c r="AI480" s="43">
        <f t="shared" si="242"/>
        <v>96311.099999999991</v>
      </c>
      <c r="AJ480" s="43">
        <f t="shared" si="243"/>
        <v>5393421.5999999996</v>
      </c>
      <c r="AK480" s="44">
        <f>VLOOKUP(D480,[1]apoio_Preços_MGS!$A$6:$AN$238,39,FALSE)</f>
        <v>200.00000000000003</v>
      </c>
      <c r="AL480" s="44">
        <f>IF(J480="demais municípios",VLOOKUP(D480,[1]apoio_Preços_MGS!$A$6:$AN$238,39,FALSE),0)</f>
        <v>200.00000000000003</v>
      </c>
      <c r="AM480" s="44">
        <v>0</v>
      </c>
      <c r="AN480" s="45">
        <f t="shared" si="263"/>
        <v>3000.0000000000005</v>
      </c>
      <c r="AO480" s="44">
        <f>VLOOKUP(D480,[1]apoio_Preços_MGS!$A$6:$AN$238,40,FALSE)</f>
        <v>546.91999999999996</v>
      </c>
      <c r="AP480" s="44">
        <f>IF(J480="demais municípios",VLOOKUP(D480,[1]apoio_Preços_MGS!$A$6:$AN$238,40,FALSE),0)</f>
        <v>546.91999999999996</v>
      </c>
      <c r="AQ480" s="44">
        <v>0</v>
      </c>
      <c r="AR480" s="45">
        <f t="shared" si="264"/>
        <v>8203.7999999999993</v>
      </c>
      <c r="AS480" s="45">
        <f t="shared" si="255"/>
        <v>11203.8</v>
      </c>
      <c r="AT480" s="45">
        <f t="shared" si="256"/>
        <v>672228</v>
      </c>
      <c r="AU480" s="62"/>
      <c r="AV480" s="46"/>
      <c r="AW480" s="47"/>
      <c r="AX480" s="48"/>
      <c r="AY480" s="49"/>
      <c r="BA480" s="48"/>
    </row>
    <row r="481" spans="1:53" ht="19.5" customHeight="1" x14ac:dyDescent="0.25">
      <c r="A481" s="33" t="str">
        <f t="shared" si="253"/>
        <v>64416440,05</v>
      </c>
      <c r="B481" s="33" t="str">
        <f t="shared" si="254"/>
        <v>1680,05</v>
      </c>
      <c r="C481" s="34" t="str">
        <f>VLOOKUP(D481,[1]apoio_Preços_MGS!$A$6:$B$238,2,FALSE)</f>
        <v>PORTEIRO</v>
      </c>
      <c r="D481" s="35">
        <v>168</v>
      </c>
      <c r="E481" s="33" t="str">
        <f>VLOOKUP(D481,[1]apoio_Preços_MGS!$A$6:$F$238,6,FALSE)</f>
        <v>PORTEIRO - 12x36 DIURNO - 44H</v>
      </c>
      <c r="F481" s="36">
        <f>IFERROR(VLOOKUP(D481,'[1]apoio_cód catmas'!$B$2:$C$863,2,FALSE),0)</f>
        <v>64416</v>
      </c>
      <c r="G481" s="33" t="str">
        <f>IF(H481="N/A",VLOOKUP(F481&amp;40,'[1]apoio_cód catmas'!$A$1:$G$233,4,FALSE),VLOOKUP(F481&amp;H481,'[1]apoio_cód catmas'!$A$1:$G$233,4,FALSE))</f>
        <v>PORTEIRO - 12X36 DIURNO - 44H</v>
      </c>
      <c r="H481" s="36">
        <v>44</v>
      </c>
      <c r="I481" s="37">
        <v>0.05</v>
      </c>
      <c r="J481" s="38" t="s">
        <v>46</v>
      </c>
      <c r="K481" s="39">
        <v>66</v>
      </c>
      <c r="L481" s="39">
        <f t="shared" si="238"/>
        <v>3960</v>
      </c>
      <c r="M481" s="40">
        <f>VLOOKUP(D481,[1]apoio_Preços_MGS!$A$6:$AN$238,18,FALSE)</f>
        <v>2357.0108214597344</v>
      </c>
      <c r="N481" s="40">
        <f>VLOOKUP(D481,[1]apoio_Preços_MGS!$A$6:$AN$238,19,FALSE)</f>
        <v>0</v>
      </c>
      <c r="O481" s="40">
        <f>VLOOKUP(D481,[1]apoio_Preços_MGS!$A$6:$AN$238,20,FALSE)</f>
        <v>0</v>
      </c>
      <c r="P481" s="40">
        <f>VLOOKUP(D481,[1]apoio_Preços_MGS!$A$6:$AN$238,21,FALSE)</f>
        <v>0</v>
      </c>
      <c r="Q481" s="40">
        <f>VLOOKUP(D481,[1]apoio_Preços_MGS!$A$6:$AN$238,22,FALSE)</f>
        <v>0</v>
      </c>
      <c r="R481" s="40">
        <f>VLOOKUP(D481,[1]apoio_Preços_MGS!$A$6:$AN$238,23,FALSE)</f>
        <v>252.53687372782872</v>
      </c>
      <c r="S481" s="40">
        <f>VLOOKUP(D481,[1]apoio_Preços_MGS!$A$6:$AN$238,24,FALSE)</f>
        <v>0</v>
      </c>
      <c r="T481" s="40">
        <f>VLOOKUP(D481,[1]apoio_Preços_MGS!$A$6:$AN$238,25,FALSE)</f>
        <v>3.2736261409162979</v>
      </c>
      <c r="U481" s="40">
        <f t="shared" si="247"/>
        <v>2612.8213213284794</v>
      </c>
      <c r="V481" s="41">
        <v>0.81799999999999995</v>
      </c>
      <c r="W481" s="40">
        <f t="shared" si="248"/>
        <v>2137.2878408466959</v>
      </c>
      <c r="X481" s="40">
        <f>VLOOKUP(D481,[1]apoio_Preços_MGS!$A$6:$AN$238,29,FALSE)</f>
        <v>52.672499999999992</v>
      </c>
      <c r="Y481" s="40">
        <f>VLOOKUP(D481,[1]apoio_Preços_MGS!$A$6:$AN$238,30,FALSE)</f>
        <v>1.721363914713578</v>
      </c>
      <c r="Z481" s="40">
        <f t="shared" si="239"/>
        <v>54.39386391471357</v>
      </c>
      <c r="AA481" s="40">
        <f>VLOOKUP(D481,[1]apoio_Preços_MGS!$A$6:$AN$238,32,FALSE)</f>
        <v>4.5254607772026896</v>
      </c>
      <c r="AB481" s="40">
        <f>VLOOKUP(D481,[1]apoio_Preços_MGS!$A$6:$AN$238,33,FALSE)</f>
        <v>114.60128756822279</v>
      </c>
      <c r="AC481" s="41">
        <f>VLOOKUP(D481,[1]apoio_Preços_MGS!$A$6:$AN$238,34,FALSE)</f>
        <v>3.403517673411495E-2</v>
      </c>
      <c r="AD481" s="40">
        <f>(U481+W481+Z481+AB481+AA481+VLOOKUP(C481,[1]apoio_Prec_Folha!$A:$S,7,FALSE))*AC481</f>
        <v>186.1913319149823</v>
      </c>
      <c r="AE481" s="42">
        <f>VLOOKUP(D481,[1]apoio_Preços_MGS!$A$6:$AN$238,36,FALSE)</f>
        <v>7.0000000000000007E-2</v>
      </c>
      <c r="AF481" s="40">
        <f>(U481+W481+Z481+AB481+AD481+AA481+VLOOKUP(C481,[1]apoio_Prec_Folha!$A:$S,7,FALSE))*AE481</f>
        <v>395.97229600122085</v>
      </c>
      <c r="AG481" s="40">
        <f t="shared" si="240"/>
        <v>5505.79</v>
      </c>
      <c r="AH481" s="43">
        <f t="shared" si="241"/>
        <v>6420.74</v>
      </c>
      <c r="AI481" s="43">
        <f t="shared" si="242"/>
        <v>423768.83999999997</v>
      </c>
      <c r="AJ481" s="43">
        <f t="shared" si="243"/>
        <v>25426130.399999999</v>
      </c>
      <c r="AK481" s="44">
        <f>VLOOKUP(D481,[1]apoio_Preços_MGS!$A$6:$AN$238,39,FALSE)</f>
        <v>200.00000000000003</v>
      </c>
      <c r="AL481" s="44">
        <f>IF(J481="demais municípios",VLOOKUP(D481,[1]apoio_Preços_MGS!$A$6:$AN$238,39,FALSE),0)</f>
        <v>200.00000000000003</v>
      </c>
      <c r="AM481" s="44">
        <v>0</v>
      </c>
      <c r="AN481" s="45">
        <f t="shared" si="263"/>
        <v>13200.000000000002</v>
      </c>
      <c r="AO481" s="44">
        <f>VLOOKUP(D481,[1]apoio_Preços_MGS!$A$6:$AN$238,40,FALSE)</f>
        <v>546.91999999999996</v>
      </c>
      <c r="AP481" s="44">
        <f>IF(J481="demais municípios",VLOOKUP(D481,[1]apoio_Preços_MGS!$A$6:$AN$238,40,FALSE),0)</f>
        <v>546.91999999999996</v>
      </c>
      <c r="AQ481" s="44">
        <v>0</v>
      </c>
      <c r="AR481" s="45">
        <f t="shared" si="264"/>
        <v>36096.719999999994</v>
      </c>
      <c r="AS481" s="45">
        <f t="shared" si="255"/>
        <v>49296.719999999994</v>
      </c>
      <c r="AT481" s="45">
        <f t="shared" si="256"/>
        <v>2957803.1999999997</v>
      </c>
      <c r="AU481" s="62"/>
      <c r="AV481" s="46"/>
      <c r="AW481" s="47"/>
      <c r="AX481" s="48"/>
      <c r="AY481" s="49"/>
      <c r="BA481" s="48"/>
    </row>
    <row r="482" spans="1:53" ht="19.5" customHeight="1" x14ac:dyDescent="0.25">
      <c r="A482" s="33" t="str">
        <f t="shared" si="253"/>
        <v>70165440,03</v>
      </c>
      <c r="B482" s="33" t="str">
        <f t="shared" si="254"/>
        <v>4030,03</v>
      </c>
      <c r="C482" s="34" t="str">
        <f>VLOOKUP(D482,[1]apoio_Preços_MGS!$A$6:$B$238,2,FALSE)</f>
        <v>PORTEIRO</v>
      </c>
      <c r="D482" s="35">
        <v>403</v>
      </c>
      <c r="E482" s="33" t="str">
        <f>VLOOKUP(D482,[1]apoio_Preços_MGS!$A$6:$F$238,6,FALSE)</f>
        <v>PORTEIRO - (PERIC.) - 12x36 NOTURNO - 44H</v>
      </c>
      <c r="F482" s="36">
        <f>IFERROR(VLOOKUP(D482,'[1]apoio_cód catmas'!$B$2:$C$863,2,FALSE),0)</f>
        <v>70165</v>
      </c>
      <c r="G482" s="33" t="str">
        <f>IF(H482="N/A",VLOOKUP(F482&amp;40,'[1]apoio_cód catmas'!$A$1:$G$233,4,FALSE),VLOOKUP(F482&amp;H482,'[1]apoio_cód catmas'!$A$1:$G$233,4,FALSE))</f>
        <v>PORTEIRO - 12X36 NOTURNO - (PERICULOSIDADE) - 44H</v>
      </c>
      <c r="H482" s="36">
        <v>44</v>
      </c>
      <c r="I482" s="37">
        <v>0.03</v>
      </c>
      <c r="J482" s="38" t="s">
        <v>46</v>
      </c>
      <c r="K482" s="39">
        <v>10</v>
      </c>
      <c r="L482" s="39">
        <f t="shared" si="238"/>
        <v>600</v>
      </c>
      <c r="M482" s="40">
        <f>VLOOKUP(D482,[1]apoio_Preços_MGS!$A$6:$AN$238,18,FALSE)</f>
        <v>2357.0108214597344</v>
      </c>
      <c r="N482" s="40">
        <f>VLOOKUP(D482,[1]apoio_Preços_MGS!$A$6:$AN$238,19,FALSE)</f>
        <v>707.10324643792035</v>
      </c>
      <c r="O482" s="40">
        <f>VLOOKUP(D482,[1]apoio_Preços_MGS!$A$6:$AN$238,20,FALSE)</f>
        <v>713.81435275582578</v>
      </c>
      <c r="P482" s="40">
        <f>VLOOKUP(D482,[1]apoio_Preços_MGS!$A$6:$AN$238,21,FALSE)</f>
        <v>15.581471415837555</v>
      </c>
      <c r="Q482" s="40">
        <f>VLOOKUP(D482,[1]apoio_Preços_MGS!$A$6:$AN$238,22,FALSE)</f>
        <v>58.430500280235492</v>
      </c>
      <c r="R482" s="40">
        <f>VLOOKUP(D482,[1]apoio_Preços_MGS!$A$6:$AN$238,23,FALSE)</f>
        <v>328.29793584617732</v>
      </c>
      <c r="S482" s="40">
        <f>VLOOKUP(D482,[1]apoio_Preços_MGS!$A$6:$AN$238,24,FALSE)</f>
        <v>0</v>
      </c>
      <c r="T482" s="40">
        <f>VLOOKUP(D482,[1]apoio_Preços_MGS!$A$6:$AN$238,25,FALSE)</f>
        <v>4.2557139831911872</v>
      </c>
      <c r="U482" s="40">
        <f t="shared" si="247"/>
        <v>4184.4940421789224</v>
      </c>
      <c r="V482" s="41">
        <v>0.81799999999999995</v>
      </c>
      <c r="W482" s="40">
        <f t="shared" si="248"/>
        <v>3422.9161265023581</v>
      </c>
      <c r="X482" s="40">
        <f>VLOOKUP(D482,[1]apoio_Preços_MGS!$A$6:$AN$238,29,FALSE)</f>
        <v>52.672499999999992</v>
      </c>
      <c r="Y482" s="40">
        <f>VLOOKUP(D482,[1]apoio_Preços_MGS!$A$6:$AN$238,30,FALSE)</f>
        <v>1.721363914713578</v>
      </c>
      <c r="Z482" s="40">
        <f t="shared" si="239"/>
        <v>54.39386391471357</v>
      </c>
      <c r="AA482" s="40">
        <f>VLOOKUP(D482,[1]apoio_Preços_MGS!$A$6:$AN$238,32,FALSE)</f>
        <v>4.5254607772026896</v>
      </c>
      <c r="AB482" s="40">
        <f>VLOOKUP(D482,[1]apoio_Preços_MGS!$A$6:$AN$238,33,FALSE)</f>
        <v>114.60128756822279</v>
      </c>
      <c r="AC482" s="41">
        <f>VLOOKUP(D482,[1]apoio_Preços_MGS!$A$6:$AN$238,34,FALSE)</f>
        <v>3.403517673411495E-2</v>
      </c>
      <c r="AD482" s="40">
        <f>(U482+W482+Z482+AB482+AA482+VLOOKUP(C482,[1]apoio_Prec_Folha!$A:$S,7,FALSE))*AC482</f>
        <v>283.44007665398215</v>
      </c>
      <c r="AE482" s="42">
        <f>VLOOKUP(D482,[1]apoio_Preços_MGS!$A$6:$AN$238,36,FALSE)</f>
        <v>7.0000000000000007E-2</v>
      </c>
      <c r="AF482" s="40">
        <f>(U482+W482+Z482+AB482+AD482+AA482+VLOOKUP(C482,[1]apoio_Prec_Folha!$A:$S,7,FALSE))*AE482</f>
        <v>602.7907785883782</v>
      </c>
      <c r="AG482" s="40">
        <f t="shared" si="240"/>
        <v>8667.16</v>
      </c>
      <c r="AH482" s="43">
        <f t="shared" si="241"/>
        <v>9877.09</v>
      </c>
      <c r="AI482" s="43">
        <f t="shared" si="242"/>
        <v>98770.9</v>
      </c>
      <c r="AJ482" s="43">
        <f t="shared" si="243"/>
        <v>5926254</v>
      </c>
      <c r="AK482" s="44">
        <f>VLOOKUP(D482,[1]apoio_Preços_MGS!$A$6:$AN$238,39,FALSE)</f>
        <v>200.00000000000003</v>
      </c>
      <c r="AL482" s="44">
        <f>IF(J482="demais municípios",VLOOKUP(D482,[1]apoio_Preços_MGS!$A$6:$AN$238,39,FALSE),0)</f>
        <v>200.00000000000003</v>
      </c>
      <c r="AM482" s="44">
        <v>0</v>
      </c>
      <c r="AN482" s="45">
        <f t="shared" si="263"/>
        <v>2000.0000000000002</v>
      </c>
      <c r="AO482" s="44">
        <f>VLOOKUP(D482,[1]apoio_Preços_MGS!$A$6:$AN$238,40,FALSE)</f>
        <v>546.91999999999996</v>
      </c>
      <c r="AP482" s="44">
        <f>IF(J482="demais municípios",VLOOKUP(D482,[1]apoio_Preços_MGS!$A$6:$AN$238,40,FALSE),0)</f>
        <v>546.91999999999996</v>
      </c>
      <c r="AQ482" s="44">
        <v>0</v>
      </c>
      <c r="AR482" s="45">
        <f t="shared" si="264"/>
        <v>5469.2</v>
      </c>
      <c r="AS482" s="45">
        <f t="shared" si="255"/>
        <v>7469.2</v>
      </c>
      <c r="AT482" s="45">
        <f t="shared" si="256"/>
        <v>448152</v>
      </c>
      <c r="AU482" s="62"/>
      <c r="AV482" s="46"/>
      <c r="AW482" s="47"/>
      <c r="AX482" s="48"/>
      <c r="AY482" s="49"/>
      <c r="BA482" s="48"/>
    </row>
    <row r="483" spans="1:53" ht="19.5" customHeight="1" x14ac:dyDescent="0.25">
      <c r="A483" s="33" t="str">
        <f t="shared" si="253"/>
        <v>63975440,02</v>
      </c>
      <c r="B483" s="33" t="str">
        <f t="shared" si="254"/>
        <v>1690,02</v>
      </c>
      <c r="C483" s="34" t="str">
        <f>VLOOKUP(D483,[1]apoio_Preços_MGS!$A$6:$B$238,2,FALSE)</f>
        <v>PORTEIRO</v>
      </c>
      <c r="D483" s="35">
        <v>169</v>
      </c>
      <c r="E483" s="33" t="str">
        <f>VLOOKUP(D483,[1]apoio_Preços_MGS!$A$6:$F$238,6,FALSE)</f>
        <v>PORTEIRO - 12x36 NOTURNO - 44H</v>
      </c>
      <c r="F483" s="36">
        <f>IFERROR(VLOOKUP(D483,'[1]apoio_cód catmas'!$B$2:$C$863,2,FALSE),0)</f>
        <v>63975</v>
      </c>
      <c r="G483" s="33" t="str">
        <f>IF(H483="N/A",VLOOKUP(F483&amp;40,'[1]apoio_cód catmas'!$A$1:$G$233,4,FALSE),VLOOKUP(F483&amp;H483,'[1]apoio_cód catmas'!$A$1:$G$233,4,FALSE))</f>
        <v>PORTEIRO - 12X36 NOTURNO - 44H</v>
      </c>
      <c r="H483" s="36">
        <v>44</v>
      </c>
      <c r="I483" s="37">
        <v>0.02</v>
      </c>
      <c r="J483" s="38" t="s">
        <v>46</v>
      </c>
      <c r="K483" s="39">
        <v>107</v>
      </c>
      <c r="L483" s="39">
        <f t="shared" si="238"/>
        <v>6420</v>
      </c>
      <c r="M483" s="40">
        <f>VLOOKUP(D483,[1]apoio_Preços_MGS!$A$6:$AN$238,18,FALSE)</f>
        <v>2357.0108214597344</v>
      </c>
      <c r="N483" s="40">
        <f>VLOOKUP(D483,[1]apoio_Preços_MGS!$A$6:$AN$238,19,FALSE)</f>
        <v>0</v>
      </c>
      <c r="O483" s="40">
        <f>VLOOKUP(D483,[1]apoio_Preços_MGS!$A$6:$AN$238,20,FALSE)</f>
        <v>549.08796365832757</v>
      </c>
      <c r="P483" s="40">
        <f>VLOOKUP(D483,[1]apoio_Preços_MGS!$A$6:$AN$238,21,FALSE)</f>
        <v>11.985747242951966</v>
      </c>
      <c r="Q483" s="40">
        <f>VLOOKUP(D483,[1]apoio_Preços_MGS!$A$6:$AN$238,22,FALSE)</f>
        <v>44.946538677104229</v>
      </c>
      <c r="R483" s="40">
        <f>VLOOKUP(D483,[1]apoio_Preços_MGS!$A$6:$AN$238,23,FALSE)</f>
        <v>252.53687372782872</v>
      </c>
      <c r="S483" s="40">
        <f>VLOOKUP(D483,[1]apoio_Preços_MGS!$A$6:$AN$238,24,FALSE)</f>
        <v>0</v>
      </c>
      <c r="T483" s="40">
        <f>VLOOKUP(D483,[1]apoio_Preços_MGS!$A$6:$AN$238,25,FALSE)</f>
        <v>3.2736261409162979</v>
      </c>
      <c r="U483" s="40">
        <f t="shared" si="247"/>
        <v>3218.8415709068636</v>
      </c>
      <c r="V483" s="41">
        <v>0.81799999999999995</v>
      </c>
      <c r="W483" s="40">
        <f t="shared" si="248"/>
        <v>2633.0124050018144</v>
      </c>
      <c r="X483" s="40">
        <f>VLOOKUP(D483,[1]apoio_Preços_MGS!$A$6:$AN$238,29,FALSE)</f>
        <v>52.672499999999992</v>
      </c>
      <c r="Y483" s="40">
        <f>VLOOKUP(D483,[1]apoio_Preços_MGS!$A$6:$AN$238,30,FALSE)</f>
        <v>1.721363914713578</v>
      </c>
      <c r="Z483" s="40">
        <f t="shared" si="239"/>
        <v>54.39386391471357</v>
      </c>
      <c r="AA483" s="40">
        <f>VLOOKUP(D483,[1]apoio_Preços_MGS!$A$6:$AN$238,32,FALSE)</f>
        <v>4.5254607772026896</v>
      </c>
      <c r="AB483" s="40">
        <f>VLOOKUP(D483,[1]apoio_Preços_MGS!$A$6:$AN$238,33,FALSE)</f>
        <v>114.60128756822279</v>
      </c>
      <c r="AC483" s="41">
        <f>VLOOKUP(D483,[1]apoio_Preços_MGS!$A$6:$AN$238,34,FALSE)</f>
        <v>3.403517673411495E-2</v>
      </c>
      <c r="AD483" s="40">
        <f>(U483+W483+Z483+AB483+AA483+VLOOKUP(C483,[1]apoio_Prec_Folha!$A:$S,7,FALSE))*AC483</f>
        <v>223.68941136629661</v>
      </c>
      <c r="AE483" s="42">
        <f>VLOOKUP(D483,[1]apoio_Preços_MGS!$A$6:$AN$238,36,FALSE)</f>
        <v>7.0000000000000007E-2</v>
      </c>
      <c r="AF483" s="40">
        <f>(U483+W483+Z483+AB483+AD483+AA483+VLOOKUP(C483,[1]apoio_Prec_Folha!$A:$S,7,FALSE))*AE483</f>
        <v>475.71929852415803</v>
      </c>
      <c r="AG483" s="40">
        <f t="shared" si="240"/>
        <v>6724.78</v>
      </c>
      <c r="AH483" s="43">
        <f t="shared" si="241"/>
        <v>7577.21</v>
      </c>
      <c r="AI483" s="43">
        <f t="shared" si="242"/>
        <v>810761.47</v>
      </c>
      <c r="AJ483" s="43">
        <f t="shared" si="243"/>
        <v>48645688.200000003</v>
      </c>
      <c r="AK483" s="44">
        <f>VLOOKUP(D483,[1]apoio_Preços_MGS!$A$6:$AN$238,39,FALSE)</f>
        <v>200.00000000000003</v>
      </c>
      <c r="AL483" s="44">
        <f>IF(J483="demais municípios",VLOOKUP(D483,[1]apoio_Preços_MGS!$A$6:$AN$238,39,FALSE),0)</f>
        <v>200.00000000000003</v>
      </c>
      <c r="AM483" s="44">
        <v>0</v>
      </c>
      <c r="AN483" s="45">
        <f t="shared" si="263"/>
        <v>21400.000000000004</v>
      </c>
      <c r="AO483" s="44">
        <f>VLOOKUP(D483,[1]apoio_Preços_MGS!$A$6:$AN$238,40,FALSE)</f>
        <v>546.91999999999996</v>
      </c>
      <c r="AP483" s="44">
        <f>IF(J483="demais municípios",VLOOKUP(D483,[1]apoio_Preços_MGS!$A$6:$AN$238,40,FALSE),0)</f>
        <v>546.91999999999996</v>
      </c>
      <c r="AQ483" s="44">
        <v>0</v>
      </c>
      <c r="AR483" s="45">
        <f t="shared" si="264"/>
        <v>58520.439999999995</v>
      </c>
      <c r="AS483" s="45">
        <f t="shared" si="255"/>
        <v>79920.44</v>
      </c>
      <c r="AT483" s="45">
        <f t="shared" si="256"/>
        <v>4795226.4000000004</v>
      </c>
      <c r="AU483" s="62"/>
      <c r="AV483" s="46"/>
      <c r="AW483" s="47"/>
      <c r="AX483" s="48"/>
      <c r="AY483" s="49"/>
      <c r="BA483" s="48"/>
    </row>
    <row r="484" spans="1:53" ht="19.5" customHeight="1" x14ac:dyDescent="0.25">
      <c r="A484" s="33" t="str">
        <f t="shared" si="253"/>
        <v>63975440,025</v>
      </c>
      <c r="B484" s="33" t="str">
        <f t="shared" si="254"/>
        <v>1690,025</v>
      </c>
      <c r="C484" s="34" t="str">
        <f>VLOOKUP(D484,[1]apoio_Preços_MGS!$A$6:$B$238,2,FALSE)</f>
        <v>PORTEIRO</v>
      </c>
      <c r="D484" s="35">
        <v>169</v>
      </c>
      <c r="E484" s="33" t="str">
        <f>VLOOKUP(D484,[1]apoio_Preços_MGS!$A$6:$F$238,6,FALSE)</f>
        <v>PORTEIRO - 12x36 NOTURNO - 44H</v>
      </c>
      <c r="F484" s="36">
        <f>IFERROR(VLOOKUP(D484,'[1]apoio_cód catmas'!$B$2:$C$863,2,FALSE),0)</f>
        <v>63975</v>
      </c>
      <c r="G484" s="33" t="str">
        <f>IF(H484="N/A",VLOOKUP(F484&amp;40,'[1]apoio_cód catmas'!$A$1:$G$233,4,FALSE),VLOOKUP(F484&amp;H484,'[1]apoio_cód catmas'!$A$1:$G$233,4,FALSE))</f>
        <v>PORTEIRO - 12X36 NOTURNO - 44H</v>
      </c>
      <c r="H484" s="36">
        <v>44</v>
      </c>
      <c r="I484" s="37">
        <v>2.5000000000000001E-2</v>
      </c>
      <c r="J484" s="38" t="s">
        <v>46</v>
      </c>
      <c r="K484" s="39">
        <v>12</v>
      </c>
      <c r="L484" s="39">
        <f t="shared" si="238"/>
        <v>720</v>
      </c>
      <c r="M484" s="40">
        <f>VLOOKUP(D484,[1]apoio_Preços_MGS!$A$6:$AN$238,18,FALSE)</f>
        <v>2357.0108214597344</v>
      </c>
      <c r="N484" s="40">
        <f>VLOOKUP(D484,[1]apoio_Preços_MGS!$A$6:$AN$238,19,FALSE)</f>
        <v>0</v>
      </c>
      <c r="O484" s="40">
        <f>VLOOKUP(D484,[1]apoio_Preços_MGS!$A$6:$AN$238,20,FALSE)</f>
        <v>549.08796365832757</v>
      </c>
      <c r="P484" s="40">
        <f>VLOOKUP(D484,[1]apoio_Preços_MGS!$A$6:$AN$238,21,FALSE)</f>
        <v>11.985747242951966</v>
      </c>
      <c r="Q484" s="40">
        <f>VLOOKUP(D484,[1]apoio_Preços_MGS!$A$6:$AN$238,22,FALSE)</f>
        <v>44.946538677104229</v>
      </c>
      <c r="R484" s="40">
        <f>VLOOKUP(D484,[1]apoio_Preços_MGS!$A$6:$AN$238,23,FALSE)</f>
        <v>252.53687372782872</v>
      </c>
      <c r="S484" s="40">
        <f>VLOOKUP(D484,[1]apoio_Preços_MGS!$A$6:$AN$238,24,FALSE)</f>
        <v>0</v>
      </c>
      <c r="T484" s="40">
        <f>VLOOKUP(D484,[1]apoio_Preços_MGS!$A$6:$AN$238,25,FALSE)</f>
        <v>3.2736261409162979</v>
      </c>
      <c r="U484" s="40">
        <f t="shared" si="247"/>
        <v>3218.8415709068636</v>
      </c>
      <c r="V484" s="41">
        <v>0.81799999999999995</v>
      </c>
      <c r="W484" s="40">
        <f t="shared" si="248"/>
        <v>2633.0124050018144</v>
      </c>
      <c r="X484" s="40">
        <f>VLOOKUP(D484,[1]apoio_Preços_MGS!$A$6:$AN$238,29,FALSE)</f>
        <v>52.672499999999992</v>
      </c>
      <c r="Y484" s="40">
        <f>VLOOKUP(D484,[1]apoio_Preços_MGS!$A$6:$AN$238,30,FALSE)</f>
        <v>1.721363914713578</v>
      </c>
      <c r="Z484" s="40">
        <f t="shared" si="239"/>
        <v>54.39386391471357</v>
      </c>
      <c r="AA484" s="40">
        <f>VLOOKUP(D484,[1]apoio_Preços_MGS!$A$6:$AN$238,32,FALSE)</f>
        <v>4.5254607772026896</v>
      </c>
      <c r="AB484" s="40">
        <f>VLOOKUP(D484,[1]apoio_Preços_MGS!$A$6:$AN$238,33,FALSE)</f>
        <v>114.60128756822279</v>
      </c>
      <c r="AC484" s="41">
        <f>VLOOKUP(D484,[1]apoio_Preços_MGS!$A$6:$AN$238,34,FALSE)</f>
        <v>3.403517673411495E-2</v>
      </c>
      <c r="AD484" s="40">
        <f>(U484+W484+Z484+AB484+AA484+VLOOKUP(C484,[1]apoio_Prec_Folha!$A:$S,7,FALSE))*AC484</f>
        <v>223.68941136629661</v>
      </c>
      <c r="AE484" s="42">
        <f>VLOOKUP(D484,[1]apoio_Preços_MGS!$A$6:$AN$238,36,FALSE)</f>
        <v>7.0000000000000007E-2</v>
      </c>
      <c r="AF484" s="40">
        <f>(U484+W484+Z484+AB484+AD484+AA484+VLOOKUP(C484,[1]apoio_Prec_Folha!$A:$S,7,FALSE))*AE484</f>
        <v>475.71929852415803</v>
      </c>
      <c r="AG484" s="40">
        <f t="shared" si="240"/>
        <v>6724.78</v>
      </c>
      <c r="AH484" s="43">
        <f t="shared" si="241"/>
        <v>7620.11</v>
      </c>
      <c r="AI484" s="43">
        <f t="shared" si="242"/>
        <v>91441.319999999992</v>
      </c>
      <c r="AJ484" s="43">
        <f t="shared" si="243"/>
        <v>5486479.2000000002</v>
      </c>
      <c r="AK484" s="44">
        <f>VLOOKUP(D484,[1]apoio_Preços_MGS!$A$6:$AN$238,39,FALSE)</f>
        <v>200.00000000000003</v>
      </c>
      <c r="AL484" s="44">
        <f>IF(J484="demais municípios",VLOOKUP(D484,[1]apoio_Preços_MGS!$A$6:$AN$238,39,FALSE),0)</f>
        <v>200.00000000000003</v>
      </c>
      <c r="AM484" s="44">
        <v>0</v>
      </c>
      <c r="AN484" s="45">
        <f t="shared" si="263"/>
        <v>2400.0000000000005</v>
      </c>
      <c r="AO484" s="44">
        <f>VLOOKUP(D484,[1]apoio_Preços_MGS!$A$6:$AN$238,40,FALSE)</f>
        <v>546.91999999999996</v>
      </c>
      <c r="AP484" s="44">
        <f>IF(J484="demais municípios",VLOOKUP(D484,[1]apoio_Preços_MGS!$A$6:$AN$238,40,FALSE),0)</f>
        <v>546.91999999999996</v>
      </c>
      <c r="AQ484" s="44">
        <v>0</v>
      </c>
      <c r="AR484" s="45">
        <f t="shared" si="264"/>
        <v>6563.0399999999991</v>
      </c>
      <c r="AS484" s="45">
        <f t="shared" si="255"/>
        <v>8963.0399999999991</v>
      </c>
      <c r="AT484" s="45">
        <f t="shared" si="256"/>
        <v>537782.39999999991</v>
      </c>
      <c r="AU484" s="62"/>
      <c r="AV484" s="46"/>
      <c r="AW484" s="47"/>
      <c r="AX484" s="48"/>
      <c r="AY484" s="49"/>
      <c r="BA484" s="48"/>
    </row>
    <row r="485" spans="1:53" ht="19.5" customHeight="1" x14ac:dyDescent="0.25">
      <c r="A485" s="33" t="str">
        <f t="shared" si="253"/>
        <v>63975440,03</v>
      </c>
      <c r="B485" s="33" t="str">
        <f t="shared" si="254"/>
        <v>1690,03</v>
      </c>
      <c r="C485" s="34" t="str">
        <f>VLOOKUP(D485,[1]apoio_Preços_MGS!$A$6:$B$238,2,FALSE)</f>
        <v>PORTEIRO</v>
      </c>
      <c r="D485" s="35">
        <v>169</v>
      </c>
      <c r="E485" s="33" t="str">
        <f>VLOOKUP(D485,[1]apoio_Preços_MGS!$A$6:$F$238,6,FALSE)</f>
        <v>PORTEIRO - 12x36 NOTURNO - 44H</v>
      </c>
      <c r="F485" s="36">
        <f>IFERROR(VLOOKUP(D485,'[1]apoio_cód catmas'!$B$2:$C$863,2,FALSE),0)</f>
        <v>63975</v>
      </c>
      <c r="G485" s="33" t="str">
        <f>IF(H485="N/A",VLOOKUP(F485&amp;40,'[1]apoio_cód catmas'!$A$1:$G$233,4,FALSE),VLOOKUP(F485&amp;H485,'[1]apoio_cód catmas'!$A$1:$G$233,4,FALSE))</f>
        <v>PORTEIRO - 12X36 NOTURNO - 44H</v>
      </c>
      <c r="H485" s="36">
        <v>44</v>
      </c>
      <c r="I485" s="37">
        <v>0.03</v>
      </c>
      <c r="J485" s="38" t="s">
        <v>46</v>
      </c>
      <c r="K485" s="39">
        <f>122-15</f>
        <v>107</v>
      </c>
      <c r="L485" s="39">
        <f t="shared" si="238"/>
        <v>6420</v>
      </c>
      <c r="M485" s="40">
        <f>VLOOKUP(D485,[1]apoio_Preços_MGS!$A$6:$AN$238,18,FALSE)</f>
        <v>2357.0108214597344</v>
      </c>
      <c r="N485" s="40">
        <f>VLOOKUP(D485,[1]apoio_Preços_MGS!$A$6:$AN$238,19,FALSE)</f>
        <v>0</v>
      </c>
      <c r="O485" s="40">
        <f>VLOOKUP(D485,[1]apoio_Preços_MGS!$A$6:$AN$238,20,FALSE)</f>
        <v>549.08796365832757</v>
      </c>
      <c r="P485" s="40">
        <f>VLOOKUP(D485,[1]apoio_Preços_MGS!$A$6:$AN$238,21,FALSE)</f>
        <v>11.985747242951966</v>
      </c>
      <c r="Q485" s="40">
        <f>VLOOKUP(D485,[1]apoio_Preços_MGS!$A$6:$AN$238,22,FALSE)</f>
        <v>44.946538677104229</v>
      </c>
      <c r="R485" s="40">
        <f>VLOOKUP(D485,[1]apoio_Preços_MGS!$A$6:$AN$238,23,FALSE)</f>
        <v>252.53687372782872</v>
      </c>
      <c r="S485" s="40">
        <f>VLOOKUP(D485,[1]apoio_Preços_MGS!$A$6:$AN$238,24,FALSE)</f>
        <v>0</v>
      </c>
      <c r="T485" s="40">
        <f>VLOOKUP(D485,[1]apoio_Preços_MGS!$A$6:$AN$238,25,FALSE)</f>
        <v>3.2736261409162979</v>
      </c>
      <c r="U485" s="40">
        <f t="shared" si="247"/>
        <v>3218.8415709068636</v>
      </c>
      <c r="V485" s="41">
        <v>0.81799999999999995</v>
      </c>
      <c r="W485" s="40">
        <f t="shared" si="248"/>
        <v>2633.0124050018144</v>
      </c>
      <c r="X485" s="40">
        <f>VLOOKUP(D485,[1]apoio_Preços_MGS!$A$6:$AN$238,29,FALSE)</f>
        <v>52.672499999999992</v>
      </c>
      <c r="Y485" s="40">
        <f>VLOOKUP(D485,[1]apoio_Preços_MGS!$A$6:$AN$238,30,FALSE)</f>
        <v>1.721363914713578</v>
      </c>
      <c r="Z485" s="40">
        <f t="shared" si="239"/>
        <v>54.39386391471357</v>
      </c>
      <c r="AA485" s="40">
        <f>VLOOKUP(D485,[1]apoio_Preços_MGS!$A$6:$AN$238,32,FALSE)</f>
        <v>4.5254607772026896</v>
      </c>
      <c r="AB485" s="40">
        <f>VLOOKUP(D485,[1]apoio_Preços_MGS!$A$6:$AN$238,33,FALSE)</f>
        <v>114.60128756822279</v>
      </c>
      <c r="AC485" s="41">
        <f>VLOOKUP(D485,[1]apoio_Preços_MGS!$A$6:$AN$238,34,FALSE)</f>
        <v>3.403517673411495E-2</v>
      </c>
      <c r="AD485" s="40">
        <f>(U485+W485+Z485+AB485+AA485+VLOOKUP(C485,[1]apoio_Prec_Folha!$A:$S,7,FALSE))*AC485</f>
        <v>223.68941136629661</v>
      </c>
      <c r="AE485" s="42">
        <f>VLOOKUP(D485,[1]apoio_Preços_MGS!$A$6:$AN$238,36,FALSE)</f>
        <v>7.0000000000000007E-2</v>
      </c>
      <c r="AF485" s="40">
        <f>(U485+W485+Z485+AB485+AD485+AA485+VLOOKUP(C485,[1]apoio_Prec_Folha!$A:$S,7,FALSE))*AE485</f>
        <v>475.71929852415803</v>
      </c>
      <c r="AG485" s="40">
        <f t="shared" si="240"/>
        <v>6724.78</v>
      </c>
      <c r="AH485" s="43">
        <f t="shared" si="241"/>
        <v>7663.55</v>
      </c>
      <c r="AI485" s="43">
        <f t="shared" si="242"/>
        <v>819999.85</v>
      </c>
      <c r="AJ485" s="43">
        <f t="shared" si="243"/>
        <v>49199991</v>
      </c>
      <c r="AK485" s="44">
        <f>VLOOKUP(D485,[1]apoio_Preços_MGS!$A$6:$AN$238,39,FALSE)</f>
        <v>200.00000000000003</v>
      </c>
      <c r="AL485" s="44">
        <f>IF(J485="demais municípios",VLOOKUP(D485,[1]apoio_Preços_MGS!$A$6:$AN$238,39,FALSE),0)</f>
        <v>200.00000000000003</v>
      </c>
      <c r="AM485" s="44">
        <v>0</v>
      </c>
      <c r="AN485" s="45">
        <f t="shared" si="263"/>
        <v>21400.000000000004</v>
      </c>
      <c r="AO485" s="44">
        <f>VLOOKUP(D485,[1]apoio_Preços_MGS!$A$6:$AN$238,40,FALSE)</f>
        <v>546.91999999999996</v>
      </c>
      <c r="AP485" s="44">
        <f>IF(J485="demais municípios",VLOOKUP(D485,[1]apoio_Preços_MGS!$A$6:$AN$238,40,FALSE),0)</f>
        <v>546.91999999999996</v>
      </c>
      <c r="AQ485" s="44">
        <v>0</v>
      </c>
      <c r="AR485" s="45">
        <f t="shared" si="264"/>
        <v>58520.439999999995</v>
      </c>
      <c r="AS485" s="45">
        <f t="shared" si="255"/>
        <v>79920.44</v>
      </c>
      <c r="AT485" s="45">
        <f t="shared" si="256"/>
        <v>4795226.4000000004</v>
      </c>
      <c r="AU485" s="62"/>
      <c r="AV485" s="46"/>
      <c r="AW485" s="47"/>
      <c r="AX485" s="48"/>
      <c r="AY485" s="49"/>
      <c r="BA485" s="48"/>
    </row>
    <row r="486" spans="1:53" ht="19.5" customHeight="1" x14ac:dyDescent="0.25">
      <c r="A486" s="33" t="str">
        <f t="shared" si="253"/>
        <v>63975440,03</v>
      </c>
      <c r="B486" s="33" t="str">
        <f t="shared" si="254"/>
        <v>1690,03</v>
      </c>
      <c r="C486" s="34" t="str">
        <f>VLOOKUP(D486,[1]apoio_Preços_MGS!$A$6:$B$238,2,FALSE)</f>
        <v>PORTEIRO</v>
      </c>
      <c r="D486" s="35">
        <v>169</v>
      </c>
      <c r="E486" s="33" t="str">
        <f>VLOOKUP(D486,[1]apoio_Preços_MGS!$A$6:$F$238,6,FALSE)</f>
        <v>PORTEIRO - 12x36 NOTURNO - 44H</v>
      </c>
      <c r="F486" s="36">
        <f>IFERROR(VLOOKUP(D486,'[1]apoio_cód catmas'!$B$2:$C$863,2,FALSE),0)</f>
        <v>63975</v>
      </c>
      <c r="G486" s="33" t="str">
        <f>IF(H486="N/A",VLOOKUP(F486&amp;40,'[1]apoio_cód catmas'!$A$1:$G$233,4,FALSE),VLOOKUP(F486&amp;H486,'[1]apoio_cód catmas'!$A$1:$G$233,4,FALSE))</f>
        <v>PORTEIRO - 12X36 NOTURNO - 44H</v>
      </c>
      <c r="H486" s="36">
        <v>44</v>
      </c>
      <c r="I486" s="37">
        <v>0.03</v>
      </c>
      <c r="J486" s="38" t="s">
        <v>46</v>
      </c>
      <c r="K486" s="39">
        <v>4</v>
      </c>
      <c r="L486" s="39">
        <f>K486*56</f>
        <v>224</v>
      </c>
      <c r="M486" s="40">
        <f>VLOOKUP(D486,[1]apoio_Preços_MGS!$A$6:$AN$238,18,FALSE)</f>
        <v>2357.0108214597344</v>
      </c>
      <c r="N486" s="40">
        <f>VLOOKUP(D486,[1]apoio_Preços_MGS!$A$6:$AN$238,19,FALSE)</f>
        <v>0</v>
      </c>
      <c r="O486" s="40">
        <f>VLOOKUP(D486,[1]apoio_Preços_MGS!$A$6:$AN$238,20,FALSE)</f>
        <v>549.08796365832757</v>
      </c>
      <c r="P486" s="40">
        <f>VLOOKUP(D486,[1]apoio_Preços_MGS!$A$6:$AN$238,21,FALSE)</f>
        <v>11.985747242951966</v>
      </c>
      <c r="Q486" s="40">
        <f>VLOOKUP(D486,[1]apoio_Preços_MGS!$A$6:$AN$238,22,FALSE)</f>
        <v>44.946538677104229</v>
      </c>
      <c r="R486" s="40">
        <f>VLOOKUP(D486,[1]apoio_Preços_MGS!$A$6:$AN$238,23,FALSE)</f>
        <v>252.53687372782872</v>
      </c>
      <c r="S486" s="40">
        <f>VLOOKUP(D486,[1]apoio_Preços_MGS!$A$6:$AN$238,24,FALSE)</f>
        <v>0</v>
      </c>
      <c r="T486" s="40">
        <f>VLOOKUP(D486,[1]apoio_Preços_MGS!$A$6:$AN$238,25,FALSE)</f>
        <v>3.2736261409162979</v>
      </c>
      <c r="U486" s="40">
        <f t="shared" si="247"/>
        <v>3218.8415709068636</v>
      </c>
      <c r="V486" s="41">
        <v>0.81799999999999995</v>
      </c>
      <c r="W486" s="40">
        <f t="shared" si="248"/>
        <v>2633.0124050018144</v>
      </c>
      <c r="X486" s="40">
        <f>VLOOKUP(D486,[1]apoio_Preços_MGS!$A$6:$AN$238,29,FALSE)</f>
        <v>52.672499999999992</v>
      </c>
      <c r="Y486" s="40">
        <f>VLOOKUP(D486,[1]apoio_Preços_MGS!$A$6:$AN$238,30,FALSE)</f>
        <v>1.721363914713578</v>
      </c>
      <c r="Z486" s="40">
        <f t="shared" si="239"/>
        <v>54.39386391471357</v>
      </c>
      <c r="AA486" s="40">
        <f>VLOOKUP(D486,[1]apoio_Preços_MGS!$A$6:$AN$238,32,FALSE)</f>
        <v>4.5254607772026896</v>
      </c>
      <c r="AB486" s="40">
        <f>VLOOKUP(D486,[1]apoio_Preços_MGS!$A$6:$AN$238,33,FALSE)</f>
        <v>114.60128756822279</v>
      </c>
      <c r="AC486" s="41">
        <f>VLOOKUP(D486,[1]apoio_Preços_MGS!$A$6:$AN$238,34,FALSE)</f>
        <v>3.403517673411495E-2</v>
      </c>
      <c r="AD486" s="40">
        <f>(U486+W486+Z486+AB486+AA486+VLOOKUP(C486,[1]apoio_Prec_Folha!$A:$S,7,FALSE))*AC486</f>
        <v>223.68941136629661</v>
      </c>
      <c r="AE486" s="42">
        <f>VLOOKUP(D486,[1]apoio_Preços_MGS!$A$6:$AN$238,36,FALSE)</f>
        <v>7.0000000000000007E-2</v>
      </c>
      <c r="AF486" s="40">
        <f>(U486+W486+Z486+AB486+AD486+AA486+VLOOKUP(C486,[1]apoio_Prec_Folha!$A:$S,7,FALSE))*AE486</f>
        <v>475.71929852415803</v>
      </c>
      <c r="AG486" s="40">
        <f t="shared" si="240"/>
        <v>6724.78</v>
      </c>
      <c r="AH486" s="43">
        <f t="shared" si="241"/>
        <v>7663.55</v>
      </c>
      <c r="AI486" s="43">
        <f t="shared" si="242"/>
        <v>30654.2</v>
      </c>
      <c r="AJ486" s="43">
        <f t="shared" si="243"/>
        <v>1716635.2</v>
      </c>
      <c r="AK486" s="44">
        <f>VLOOKUP(D486,[1]apoio_Preços_MGS!$A$6:$AN$238,39,FALSE)</f>
        <v>200.00000000000003</v>
      </c>
      <c r="AL486" s="44">
        <f>IF(J486="demais municípios",VLOOKUP(D486,[1]apoio_Preços_MGS!$A$6:$AN$238,39,FALSE),0)</f>
        <v>200.00000000000003</v>
      </c>
      <c r="AM486" s="44">
        <v>0</v>
      </c>
      <c r="AN486" s="45">
        <f t="shared" si="263"/>
        <v>800.00000000000011</v>
      </c>
      <c r="AO486" s="44">
        <f>VLOOKUP(D486,[1]apoio_Preços_MGS!$A$6:$AN$238,40,FALSE)</f>
        <v>546.91999999999996</v>
      </c>
      <c r="AP486" s="44">
        <f>IF(J486="demais municípios",VLOOKUP(D486,[1]apoio_Preços_MGS!$A$6:$AN$238,40,FALSE),0)</f>
        <v>546.91999999999996</v>
      </c>
      <c r="AQ486" s="44">
        <v>0</v>
      </c>
      <c r="AR486" s="45">
        <f t="shared" si="264"/>
        <v>2187.6799999999998</v>
      </c>
      <c r="AS486" s="45">
        <f t="shared" si="255"/>
        <v>2987.68</v>
      </c>
      <c r="AT486" s="45">
        <f t="shared" si="256"/>
        <v>179260.79999999999</v>
      </c>
      <c r="AU486" s="62"/>
      <c r="AV486" s="46"/>
      <c r="AW486" s="47"/>
      <c r="AX486" s="48"/>
      <c r="AY486" s="49"/>
      <c r="BA486" s="48"/>
    </row>
    <row r="487" spans="1:53" ht="19.5" customHeight="1" x14ac:dyDescent="0.25">
      <c r="A487" s="33" t="str">
        <f t="shared" si="253"/>
        <v>63975440,035</v>
      </c>
      <c r="B487" s="33" t="str">
        <f t="shared" si="254"/>
        <v>1690,035</v>
      </c>
      <c r="C487" s="34" t="str">
        <f>VLOOKUP(D487,[1]apoio_Preços_MGS!$A$6:$B$238,2,FALSE)</f>
        <v>PORTEIRO</v>
      </c>
      <c r="D487" s="35">
        <v>169</v>
      </c>
      <c r="E487" s="33" t="str">
        <f>VLOOKUP(D487,[1]apoio_Preços_MGS!$A$6:$F$238,6,FALSE)</f>
        <v>PORTEIRO - 12x36 NOTURNO - 44H</v>
      </c>
      <c r="F487" s="36">
        <f>IFERROR(VLOOKUP(D487,'[1]apoio_cód catmas'!$B$2:$C$863,2,FALSE),0)</f>
        <v>63975</v>
      </c>
      <c r="G487" s="33" t="str">
        <f>IF(H487="N/A",VLOOKUP(F487&amp;40,'[1]apoio_cód catmas'!$A$1:$G$233,4,FALSE),VLOOKUP(F487&amp;H487,'[1]apoio_cód catmas'!$A$1:$G$233,4,FALSE))</f>
        <v>PORTEIRO - 12X36 NOTURNO - 44H</v>
      </c>
      <c r="H487" s="36">
        <v>44</v>
      </c>
      <c r="I487" s="37">
        <v>3.5000000000000003E-2</v>
      </c>
      <c r="J487" s="38" t="s">
        <v>46</v>
      </c>
      <c r="K487" s="39">
        <v>44</v>
      </c>
      <c r="L487" s="39">
        <f t="shared" si="238"/>
        <v>2640</v>
      </c>
      <c r="M487" s="40">
        <f>VLOOKUP(D487,[1]apoio_Preços_MGS!$A$6:$AN$238,18,FALSE)</f>
        <v>2357.0108214597344</v>
      </c>
      <c r="N487" s="40">
        <f>VLOOKUP(D487,[1]apoio_Preços_MGS!$A$6:$AN$238,19,FALSE)</f>
        <v>0</v>
      </c>
      <c r="O487" s="40">
        <f>VLOOKUP(D487,[1]apoio_Preços_MGS!$A$6:$AN$238,20,FALSE)</f>
        <v>549.08796365832757</v>
      </c>
      <c r="P487" s="40">
        <f>VLOOKUP(D487,[1]apoio_Preços_MGS!$A$6:$AN$238,21,FALSE)</f>
        <v>11.985747242951966</v>
      </c>
      <c r="Q487" s="40">
        <f>VLOOKUP(D487,[1]apoio_Preços_MGS!$A$6:$AN$238,22,FALSE)</f>
        <v>44.946538677104229</v>
      </c>
      <c r="R487" s="40">
        <f>VLOOKUP(D487,[1]apoio_Preços_MGS!$A$6:$AN$238,23,FALSE)</f>
        <v>252.53687372782872</v>
      </c>
      <c r="S487" s="40">
        <f>VLOOKUP(D487,[1]apoio_Preços_MGS!$A$6:$AN$238,24,FALSE)</f>
        <v>0</v>
      </c>
      <c r="T487" s="40">
        <f>VLOOKUP(D487,[1]apoio_Preços_MGS!$A$6:$AN$238,25,FALSE)</f>
        <v>3.2736261409162979</v>
      </c>
      <c r="U487" s="40">
        <f t="shared" si="247"/>
        <v>3218.8415709068636</v>
      </c>
      <c r="V487" s="41">
        <v>0.81799999999999995</v>
      </c>
      <c r="W487" s="40">
        <f t="shared" si="248"/>
        <v>2633.0124050018144</v>
      </c>
      <c r="X487" s="40">
        <f>VLOOKUP(D487,[1]apoio_Preços_MGS!$A$6:$AN$238,29,FALSE)</f>
        <v>52.672499999999992</v>
      </c>
      <c r="Y487" s="40">
        <f>VLOOKUP(D487,[1]apoio_Preços_MGS!$A$6:$AN$238,30,FALSE)</f>
        <v>1.721363914713578</v>
      </c>
      <c r="Z487" s="40">
        <f t="shared" si="239"/>
        <v>54.39386391471357</v>
      </c>
      <c r="AA487" s="40">
        <f>VLOOKUP(D487,[1]apoio_Preços_MGS!$A$6:$AN$238,32,FALSE)</f>
        <v>4.5254607772026896</v>
      </c>
      <c r="AB487" s="40">
        <f>VLOOKUP(D487,[1]apoio_Preços_MGS!$A$6:$AN$238,33,FALSE)</f>
        <v>114.60128756822279</v>
      </c>
      <c r="AC487" s="41">
        <f>VLOOKUP(D487,[1]apoio_Preços_MGS!$A$6:$AN$238,34,FALSE)</f>
        <v>3.403517673411495E-2</v>
      </c>
      <c r="AD487" s="40">
        <f>(U487+W487+Z487+AB487+AA487+VLOOKUP(C487,[1]apoio_Prec_Folha!$A:$S,7,FALSE))*AC487</f>
        <v>223.68941136629661</v>
      </c>
      <c r="AE487" s="42">
        <f>VLOOKUP(D487,[1]apoio_Preços_MGS!$A$6:$AN$238,36,FALSE)</f>
        <v>7.0000000000000007E-2</v>
      </c>
      <c r="AF487" s="40">
        <f>(U487+W487+Z487+AB487+AD487+AA487+VLOOKUP(C487,[1]apoio_Prec_Folha!$A:$S,7,FALSE))*AE487</f>
        <v>475.71929852415803</v>
      </c>
      <c r="AG487" s="40">
        <f t="shared" si="240"/>
        <v>6724.78</v>
      </c>
      <c r="AH487" s="43">
        <f t="shared" si="241"/>
        <v>7707.47</v>
      </c>
      <c r="AI487" s="43">
        <f t="shared" si="242"/>
        <v>339128.68</v>
      </c>
      <c r="AJ487" s="43">
        <f t="shared" si="243"/>
        <v>20347720.800000001</v>
      </c>
      <c r="AK487" s="44">
        <f>VLOOKUP(D487,[1]apoio_Preços_MGS!$A$6:$AN$238,39,FALSE)</f>
        <v>200.00000000000003</v>
      </c>
      <c r="AL487" s="44">
        <f>IF(J487="demais municípios",VLOOKUP(D487,[1]apoio_Preços_MGS!$A$6:$AN$238,39,FALSE),0)</f>
        <v>200.00000000000003</v>
      </c>
      <c r="AM487" s="44">
        <v>0</v>
      </c>
      <c r="AN487" s="45">
        <f t="shared" si="263"/>
        <v>8800.0000000000018</v>
      </c>
      <c r="AO487" s="44">
        <f>VLOOKUP(D487,[1]apoio_Preços_MGS!$A$6:$AN$238,40,FALSE)</f>
        <v>546.91999999999996</v>
      </c>
      <c r="AP487" s="44">
        <f>IF(J487="demais municípios",VLOOKUP(D487,[1]apoio_Preços_MGS!$A$6:$AN$238,40,FALSE),0)</f>
        <v>546.91999999999996</v>
      </c>
      <c r="AQ487" s="44">
        <v>0</v>
      </c>
      <c r="AR487" s="45">
        <f t="shared" si="264"/>
        <v>24064.48</v>
      </c>
      <c r="AS487" s="45">
        <f t="shared" si="255"/>
        <v>32864.480000000003</v>
      </c>
      <c r="AT487" s="45">
        <f t="shared" si="256"/>
        <v>1971868.8000000003</v>
      </c>
      <c r="AU487" s="62"/>
      <c r="AV487" s="46"/>
      <c r="AW487" s="47"/>
      <c r="AX487" s="48"/>
      <c r="AY487" s="49"/>
      <c r="BA487" s="48"/>
    </row>
    <row r="488" spans="1:53" ht="19.5" customHeight="1" x14ac:dyDescent="0.25">
      <c r="A488" s="33" t="str">
        <f t="shared" si="253"/>
        <v>63975440,04</v>
      </c>
      <c r="B488" s="33" t="str">
        <f t="shared" si="254"/>
        <v>1690,04</v>
      </c>
      <c r="C488" s="34" t="str">
        <f>VLOOKUP(D488,[1]apoio_Preços_MGS!$A$6:$B$238,2,FALSE)</f>
        <v>PORTEIRO</v>
      </c>
      <c r="D488" s="35">
        <v>169</v>
      </c>
      <c r="E488" s="33" t="str">
        <f>VLOOKUP(D488,[1]apoio_Preços_MGS!$A$6:$F$238,6,FALSE)</f>
        <v>PORTEIRO - 12x36 NOTURNO - 44H</v>
      </c>
      <c r="F488" s="36">
        <f>IFERROR(VLOOKUP(D488,'[1]apoio_cód catmas'!$B$2:$C$863,2,FALSE),0)</f>
        <v>63975</v>
      </c>
      <c r="G488" s="33" t="str">
        <f>IF(H488="N/A",VLOOKUP(F488&amp;40,'[1]apoio_cód catmas'!$A$1:$G$233,4,FALSE),VLOOKUP(F488&amp;H488,'[1]apoio_cód catmas'!$A$1:$G$233,4,FALSE))</f>
        <v>PORTEIRO - 12X36 NOTURNO - 44H</v>
      </c>
      <c r="H488" s="36">
        <v>44</v>
      </c>
      <c r="I488" s="37">
        <v>0.04</v>
      </c>
      <c r="J488" s="38" t="s">
        <v>46</v>
      </c>
      <c r="K488" s="39">
        <v>28</v>
      </c>
      <c r="L488" s="39">
        <f t="shared" si="238"/>
        <v>1680</v>
      </c>
      <c r="M488" s="40">
        <f>VLOOKUP(D488,[1]apoio_Preços_MGS!$A$6:$AN$238,18,FALSE)</f>
        <v>2357.0108214597344</v>
      </c>
      <c r="N488" s="40">
        <f>VLOOKUP(D488,[1]apoio_Preços_MGS!$A$6:$AN$238,19,FALSE)</f>
        <v>0</v>
      </c>
      <c r="O488" s="40">
        <f>VLOOKUP(D488,[1]apoio_Preços_MGS!$A$6:$AN$238,20,FALSE)</f>
        <v>549.08796365832757</v>
      </c>
      <c r="P488" s="40">
        <f>VLOOKUP(D488,[1]apoio_Preços_MGS!$A$6:$AN$238,21,FALSE)</f>
        <v>11.985747242951966</v>
      </c>
      <c r="Q488" s="40">
        <f>VLOOKUP(D488,[1]apoio_Preços_MGS!$A$6:$AN$238,22,FALSE)</f>
        <v>44.946538677104229</v>
      </c>
      <c r="R488" s="40">
        <f>VLOOKUP(D488,[1]apoio_Preços_MGS!$A$6:$AN$238,23,FALSE)</f>
        <v>252.53687372782872</v>
      </c>
      <c r="S488" s="40">
        <f>VLOOKUP(D488,[1]apoio_Preços_MGS!$A$6:$AN$238,24,FALSE)</f>
        <v>0</v>
      </c>
      <c r="T488" s="40">
        <f>VLOOKUP(D488,[1]apoio_Preços_MGS!$A$6:$AN$238,25,FALSE)</f>
        <v>3.2736261409162979</v>
      </c>
      <c r="U488" s="40">
        <f t="shared" si="247"/>
        <v>3218.8415709068636</v>
      </c>
      <c r="V488" s="41">
        <v>0.81799999999999995</v>
      </c>
      <c r="W488" s="40">
        <f t="shared" si="248"/>
        <v>2633.0124050018144</v>
      </c>
      <c r="X488" s="40">
        <f>VLOOKUP(D488,[1]apoio_Preços_MGS!$A$6:$AN$238,29,FALSE)</f>
        <v>52.672499999999992</v>
      </c>
      <c r="Y488" s="40">
        <f>VLOOKUP(D488,[1]apoio_Preços_MGS!$A$6:$AN$238,30,FALSE)</f>
        <v>1.721363914713578</v>
      </c>
      <c r="Z488" s="40">
        <f t="shared" si="239"/>
        <v>54.39386391471357</v>
      </c>
      <c r="AA488" s="40">
        <f>VLOOKUP(D488,[1]apoio_Preços_MGS!$A$6:$AN$238,32,FALSE)</f>
        <v>4.5254607772026896</v>
      </c>
      <c r="AB488" s="40">
        <f>VLOOKUP(D488,[1]apoio_Preços_MGS!$A$6:$AN$238,33,FALSE)</f>
        <v>114.60128756822279</v>
      </c>
      <c r="AC488" s="41">
        <f>VLOOKUP(D488,[1]apoio_Preços_MGS!$A$6:$AN$238,34,FALSE)</f>
        <v>3.403517673411495E-2</v>
      </c>
      <c r="AD488" s="40">
        <f>(U488+W488+Z488+AB488+AA488+VLOOKUP(C488,[1]apoio_Prec_Folha!$A:$S,7,FALSE))*AC488</f>
        <v>223.68941136629661</v>
      </c>
      <c r="AE488" s="42">
        <f>VLOOKUP(D488,[1]apoio_Preços_MGS!$A$6:$AN$238,36,FALSE)</f>
        <v>7.0000000000000007E-2</v>
      </c>
      <c r="AF488" s="40">
        <f>(U488+W488+Z488+AB488+AD488+AA488+VLOOKUP(C488,[1]apoio_Prec_Folha!$A:$S,7,FALSE))*AE488</f>
        <v>475.71929852415803</v>
      </c>
      <c r="AG488" s="40">
        <f t="shared" si="240"/>
        <v>6724.78</v>
      </c>
      <c r="AH488" s="43">
        <f t="shared" si="241"/>
        <v>7751.92</v>
      </c>
      <c r="AI488" s="43">
        <f t="shared" si="242"/>
        <v>217053.76</v>
      </c>
      <c r="AJ488" s="43">
        <f t="shared" si="243"/>
        <v>13023225.6</v>
      </c>
      <c r="AK488" s="44">
        <f>VLOOKUP(D488,[1]apoio_Preços_MGS!$A$6:$AN$238,39,FALSE)</f>
        <v>200.00000000000003</v>
      </c>
      <c r="AL488" s="44">
        <f>IF(J488="demais municípios",VLOOKUP(D488,[1]apoio_Preços_MGS!$A$6:$AN$238,39,FALSE),0)</f>
        <v>200.00000000000003</v>
      </c>
      <c r="AM488" s="44">
        <v>0</v>
      </c>
      <c r="AN488" s="45">
        <f t="shared" si="263"/>
        <v>5600.0000000000009</v>
      </c>
      <c r="AO488" s="44">
        <f>VLOOKUP(D488,[1]apoio_Preços_MGS!$A$6:$AN$238,40,FALSE)</f>
        <v>546.91999999999996</v>
      </c>
      <c r="AP488" s="44">
        <f>IF(J488="demais municípios",VLOOKUP(D488,[1]apoio_Preços_MGS!$A$6:$AN$238,40,FALSE),0)</f>
        <v>546.91999999999996</v>
      </c>
      <c r="AQ488" s="44">
        <v>0</v>
      </c>
      <c r="AR488" s="45">
        <f t="shared" si="264"/>
        <v>15313.759999999998</v>
      </c>
      <c r="AS488" s="45">
        <f t="shared" si="255"/>
        <v>20913.759999999998</v>
      </c>
      <c r="AT488" s="45">
        <f t="shared" si="256"/>
        <v>1254825.5999999999</v>
      </c>
      <c r="AU488" s="62"/>
      <c r="AV488" s="46"/>
      <c r="AW488" s="47"/>
      <c r="AX488" s="48"/>
      <c r="AY488" s="49"/>
      <c r="BA488" s="48"/>
    </row>
    <row r="489" spans="1:53" ht="19.5" customHeight="1" x14ac:dyDescent="0.25">
      <c r="A489" s="33" t="str">
        <f t="shared" si="253"/>
        <v>63975440,05</v>
      </c>
      <c r="B489" s="33" t="str">
        <f t="shared" si="254"/>
        <v>1690,05</v>
      </c>
      <c r="C489" s="34" t="str">
        <f>VLOOKUP(D489,[1]apoio_Preços_MGS!$A$6:$B$238,2,FALSE)</f>
        <v>PORTEIRO</v>
      </c>
      <c r="D489" s="35">
        <v>169</v>
      </c>
      <c r="E489" s="33" t="str">
        <f>VLOOKUP(D489,[1]apoio_Preços_MGS!$A$6:$F$238,6,FALSE)</f>
        <v>PORTEIRO - 12x36 NOTURNO - 44H</v>
      </c>
      <c r="F489" s="36">
        <f>IFERROR(VLOOKUP(D489,'[1]apoio_cód catmas'!$B$2:$C$863,2,FALSE),0)</f>
        <v>63975</v>
      </c>
      <c r="G489" s="33" t="str">
        <f>IF(H489="N/A",VLOOKUP(F489&amp;40,'[1]apoio_cód catmas'!$A$1:$G$233,4,FALSE),VLOOKUP(F489&amp;H489,'[1]apoio_cód catmas'!$A$1:$G$233,4,FALSE))</f>
        <v>PORTEIRO - 12X36 NOTURNO - 44H</v>
      </c>
      <c r="H489" s="36">
        <v>44</v>
      </c>
      <c r="I489" s="37">
        <v>0.05</v>
      </c>
      <c r="J489" s="38" t="s">
        <v>46</v>
      </c>
      <c r="K489" s="39">
        <v>15</v>
      </c>
      <c r="L489" s="39">
        <f>K489*56</f>
        <v>840</v>
      </c>
      <c r="M489" s="40">
        <f>VLOOKUP(D489,[1]apoio_Preços_MGS!$A$6:$AN$238,18,FALSE)</f>
        <v>2357.0108214597344</v>
      </c>
      <c r="N489" s="40">
        <f>VLOOKUP(D489,[1]apoio_Preços_MGS!$A$6:$AN$238,19,FALSE)</f>
        <v>0</v>
      </c>
      <c r="O489" s="40">
        <f>VLOOKUP(D489,[1]apoio_Preços_MGS!$A$6:$AN$238,20,FALSE)</f>
        <v>549.08796365832757</v>
      </c>
      <c r="P489" s="40">
        <f>VLOOKUP(D489,[1]apoio_Preços_MGS!$A$6:$AN$238,21,FALSE)</f>
        <v>11.985747242951966</v>
      </c>
      <c r="Q489" s="40">
        <f>VLOOKUP(D489,[1]apoio_Preços_MGS!$A$6:$AN$238,22,FALSE)</f>
        <v>44.946538677104229</v>
      </c>
      <c r="R489" s="40">
        <f>VLOOKUP(D489,[1]apoio_Preços_MGS!$A$6:$AN$238,23,FALSE)</f>
        <v>252.53687372782872</v>
      </c>
      <c r="S489" s="40">
        <f>VLOOKUP(D489,[1]apoio_Preços_MGS!$A$6:$AN$238,24,FALSE)</f>
        <v>0</v>
      </c>
      <c r="T489" s="40">
        <f>VLOOKUP(D489,[1]apoio_Preços_MGS!$A$6:$AN$238,25,FALSE)</f>
        <v>3.2736261409162979</v>
      </c>
      <c r="U489" s="40">
        <f t="shared" si="247"/>
        <v>3218.8415709068636</v>
      </c>
      <c r="V489" s="41">
        <v>0.81799999999999995</v>
      </c>
      <c r="W489" s="40">
        <f t="shared" si="248"/>
        <v>2633.0124050018144</v>
      </c>
      <c r="X489" s="40">
        <f>VLOOKUP(D489,[1]apoio_Preços_MGS!$A$6:$AN$238,29,FALSE)</f>
        <v>52.672499999999992</v>
      </c>
      <c r="Y489" s="40">
        <f>VLOOKUP(D489,[1]apoio_Preços_MGS!$A$6:$AN$238,30,FALSE)</f>
        <v>1.721363914713578</v>
      </c>
      <c r="Z489" s="40">
        <f t="shared" si="239"/>
        <v>54.39386391471357</v>
      </c>
      <c r="AA489" s="40">
        <f>VLOOKUP(D489,[1]apoio_Preços_MGS!$A$6:$AN$238,32,FALSE)</f>
        <v>4.5254607772026896</v>
      </c>
      <c r="AB489" s="40">
        <f>VLOOKUP(D489,[1]apoio_Preços_MGS!$A$6:$AN$238,33,FALSE)</f>
        <v>114.60128756822279</v>
      </c>
      <c r="AC489" s="41">
        <f>VLOOKUP(D489,[1]apoio_Preços_MGS!$A$6:$AN$238,34,FALSE)</f>
        <v>3.403517673411495E-2</v>
      </c>
      <c r="AD489" s="40">
        <f>(U489+W489+Z489+AB489+AA489+VLOOKUP(C489,[1]apoio_Prec_Folha!$A:$S,7,FALSE))*AC489</f>
        <v>223.68941136629661</v>
      </c>
      <c r="AE489" s="42">
        <f>VLOOKUP(D489,[1]apoio_Preços_MGS!$A$6:$AN$238,36,FALSE)</f>
        <v>7.0000000000000007E-2</v>
      </c>
      <c r="AF489" s="40">
        <f>(U489+W489+Z489+AB489+AD489+AA489+VLOOKUP(C489,[1]apoio_Prec_Folha!$A:$S,7,FALSE))*AE489</f>
        <v>475.71929852415803</v>
      </c>
      <c r="AG489" s="40">
        <f t="shared" si="240"/>
        <v>6724.78</v>
      </c>
      <c r="AH489" s="43">
        <f t="shared" si="241"/>
        <v>7842.3</v>
      </c>
      <c r="AI489" s="43">
        <f t="shared" si="242"/>
        <v>117634.5</v>
      </c>
      <c r="AJ489" s="43">
        <f t="shared" si="243"/>
        <v>6587532</v>
      </c>
      <c r="AK489" s="44">
        <f>VLOOKUP(D489,[1]apoio_Preços_MGS!$A$6:$AN$238,39,FALSE)</f>
        <v>200.00000000000003</v>
      </c>
      <c r="AL489" s="44">
        <f>IF(J489="demais municípios",VLOOKUP(D489,[1]apoio_Preços_MGS!$A$6:$AN$238,39,FALSE),0)</f>
        <v>200.00000000000003</v>
      </c>
      <c r="AM489" s="44">
        <v>0</v>
      </c>
      <c r="AN489" s="45">
        <f t="shared" si="263"/>
        <v>3000.0000000000005</v>
      </c>
      <c r="AO489" s="44">
        <f>VLOOKUP(D489,[1]apoio_Preços_MGS!$A$6:$AN$238,40,FALSE)</f>
        <v>546.91999999999996</v>
      </c>
      <c r="AP489" s="44">
        <f>IF(J489="demais municípios",VLOOKUP(D489,[1]apoio_Preços_MGS!$A$6:$AN$238,40,FALSE),0)</f>
        <v>546.91999999999996</v>
      </c>
      <c r="AQ489" s="44">
        <v>0</v>
      </c>
      <c r="AR489" s="45">
        <f t="shared" si="264"/>
        <v>8203.7999999999993</v>
      </c>
      <c r="AS489" s="45">
        <f t="shared" si="255"/>
        <v>11203.8</v>
      </c>
      <c r="AT489" s="45">
        <f t="shared" si="256"/>
        <v>672228</v>
      </c>
      <c r="AU489" s="62"/>
      <c r="AV489" s="46"/>
      <c r="AW489" s="47"/>
      <c r="AX489" s="48"/>
      <c r="AY489" s="49"/>
      <c r="BA489" s="48"/>
    </row>
    <row r="490" spans="1:53" ht="19.5" customHeight="1" x14ac:dyDescent="0.25">
      <c r="A490" s="33" t="str">
        <f t="shared" si="253"/>
        <v>63975440,05</v>
      </c>
      <c r="B490" s="33" t="str">
        <f t="shared" si="254"/>
        <v>1690,05</v>
      </c>
      <c r="C490" s="34" t="str">
        <f>VLOOKUP(D490,[1]apoio_Preços_MGS!$A$6:$B$238,2,FALSE)</f>
        <v>PORTEIRO</v>
      </c>
      <c r="D490" s="35">
        <v>169</v>
      </c>
      <c r="E490" s="33" t="str">
        <f>VLOOKUP(D490,[1]apoio_Preços_MGS!$A$6:$F$238,6,FALSE)</f>
        <v>PORTEIRO - 12x36 NOTURNO - 44H</v>
      </c>
      <c r="F490" s="36">
        <f>IFERROR(VLOOKUP(D490,'[1]apoio_cód catmas'!$B$2:$C$863,2,FALSE),0)</f>
        <v>63975</v>
      </c>
      <c r="G490" s="33" t="str">
        <f>IF(H490="N/A",VLOOKUP(F490&amp;40,'[1]apoio_cód catmas'!$A$1:$G$233,4,FALSE),VLOOKUP(F490&amp;H490,'[1]apoio_cód catmas'!$A$1:$G$233,4,FALSE))</f>
        <v>PORTEIRO - 12X36 NOTURNO - 44H</v>
      </c>
      <c r="H490" s="36">
        <v>44</v>
      </c>
      <c r="I490" s="37">
        <v>0.05</v>
      </c>
      <c r="J490" s="38" t="s">
        <v>46</v>
      </c>
      <c r="K490" s="39">
        <f>72-4</f>
        <v>68</v>
      </c>
      <c r="L490" s="39">
        <f t="shared" si="238"/>
        <v>4080</v>
      </c>
      <c r="M490" s="40">
        <f>VLOOKUP(D490,[1]apoio_Preços_MGS!$A$6:$AN$238,18,FALSE)</f>
        <v>2357.0108214597344</v>
      </c>
      <c r="N490" s="40">
        <f>VLOOKUP(D490,[1]apoio_Preços_MGS!$A$6:$AN$238,19,FALSE)</f>
        <v>0</v>
      </c>
      <c r="O490" s="40">
        <f>VLOOKUP(D490,[1]apoio_Preços_MGS!$A$6:$AN$238,20,FALSE)</f>
        <v>549.08796365832757</v>
      </c>
      <c r="P490" s="40">
        <f>VLOOKUP(D490,[1]apoio_Preços_MGS!$A$6:$AN$238,21,FALSE)</f>
        <v>11.985747242951966</v>
      </c>
      <c r="Q490" s="40">
        <f>VLOOKUP(D490,[1]apoio_Preços_MGS!$A$6:$AN$238,22,FALSE)</f>
        <v>44.946538677104229</v>
      </c>
      <c r="R490" s="40">
        <f>VLOOKUP(D490,[1]apoio_Preços_MGS!$A$6:$AN$238,23,FALSE)</f>
        <v>252.53687372782872</v>
      </c>
      <c r="S490" s="40">
        <f>VLOOKUP(D490,[1]apoio_Preços_MGS!$A$6:$AN$238,24,FALSE)</f>
        <v>0</v>
      </c>
      <c r="T490" s="40">
        <f>VLOOKUP(D490,[1]apoio_Preços_MGS!$A$6:$AN$238,25,FALSE)</f>
        <v>3.2736261409162979</v>
      </c>
      <c r="U490" s="40">
        <f t="shared" si="247"/>
        <v>3218.8415709068636</v>
      </c>
      <c r="V490" s="41">
        <v>0.81799999999999995</v>
      </c>
      <c r="W490" s="40">
        <f t="shared" si="248"/>
        <v>2633.0124050018144</v>
      </c>
      <c r="X490" s="40">
        <f>VLOOKUP(D490,[1]apoio_Preços_MGS!$A$6:$AN$238,29,FALSE)</f>
        <v>52.672499999999992</v>
      </c>
      <c r="Y490" s="40">
        <f>VLOOKUP(D490,[1]apoio_Preços_MGS!$A$6:$AN$238,30,FALSE)</f>
        <v>1.721363914713578</v>
      </c>
      <c r="Z490" s="40">
        <f t="shared" si="239"/>
        <v>54.39386391471357</v>
      </c>
      <c r="AA490" s="40">
        <f>VLOOKUP(D490,[1]apoio_Preços_MGS!$A$6:$AN$238,32,FALSE)</f>
        <v>4.5254607772026896</v>
      </c>
      <c r="AB490" s="40">
        <f>VLOOKUP(D490,[1]apoio_Preços_MGS!$A$6:$AN$238,33,FALSE)</f>
        <v>114.60128756822279</v>
      </c>
      <c r="AC490" s="41">
        <f>VLOOKUP(D490,[1]apoio_Preços_MGS!$A$6:$AN$238,34,FALSE)</f>
        <v>3.403517673411495E-2</v>
      </c>
      <c r="AD490" s="40">
        <f>(U490+W490+Z490+AB490+AA490+VLOOKUP(C490,[1]apoio_Prec_Folha!$A:$S,7,FALSE))*AC490</f>
        <v>223.68941136629661</v>
      </c>
      <c r="AE490" s="42">
        <f>VLOOKUP(D490,[1]apoio_Preços_MGS!$A$6:$AN$238,36,FALSE)</f>
        <v>7.0000000000000007E-2</v>
      </c>
      <c r="AF490" s="40">
        <f>(U490+W490+Z490+AB490+AD490+AA490+VLOOKUP(C490,[1]apoio_Prec_Folha!$A:$S,7,FALSE))*AE490</f>
        <v>475.71929852415803</v>
      </c>
      <c r="AG490" s="40">
        <f t="shared" si="240"/>
        <v>6724.78</v>
      </c>
      <c r="AH490" s="43">
        <f t="shared" si="241"/>
        <v>7842.3</v>
      </c>
      <c r="AI490" s="43">
        <f t="shared" si="242"/>
        <v>533276.4</v>
      </c>
      <c r="AJ490" s="43">
        <f t="shared" si="243"/>
        <v>31996584</v>
      </c>
      <c r="AK490" s="44">
        <f>VLOOKUP(D490,[1]apoio_Preços_MGS!$A$6:$AN$238,39,FALSE)</f>
        <v>200.00000000000003</v>
      </c>
      <c r="AL490" s="44">
        <f>IF(J490="demais municípios",VLOOKUP(D490,[1]apoio_Preços_MGS!$A$6:$AN$238,39,FALSE),0)</f>
        <v>200.00000000000003</v>
      </c>
      <c r="AM490" s="44">
        <v>0</v>
      </c>
      <c r="AN490" s="45">
        <f t="shared" si="263"/>
        <v>13600.000000000002</v>
      </c>
      <c r="AO490" s="44">
        <f>VLOOKUP(D490,[1]apoio_Preços_MGS!$A$6:$AN$238,40,FALSE)</f>
        <v>546.91999999999996</v>
      </c>
      <c r="AP490" s="44">
        <f>IF(J490="demais municípios",VLOOKUP(D490,[1]apoio_Preços_MGS!$A$6:$AN$238,40,FALSE),0)</f>
        <v>546.91999999999996</v>
      </c>
      <c r="AQ490" s="44">
        <v>0</v>
      </c>
      <c r="AR490" s="45">
        <f t="shared" si="264"/>
        <v>37190.559999999998</v>
      </c>
      <c r="AS490" s="45">
        <f t="shared" si="255"/>
        <v>50790.559999999998</v>
      </c>
      <c r="AT490" s="45">
        <f t="shared" si="256"/>
        <v>3047433.5999999996</v>
      </c>
      <c r="AU490" s="62"/>
      <c r="AV490" s="46"/>
      <c r="AW490" s="47"/>
      <c r="AX490" s="48"/>
      <c r="AY490" s="49"/>
      <c r="BA490" s="48"/>
    </row>
    <row r="491" spans="1:53" ht="19.5" customHeight="1" x14ac:dyDescent="0.25">
      <c r="A491" s="33" t="str">
        <f t="shared" si="253"/>
        <v>63525300,02</v>
      </c>
      <c r="B491" s="33" t="str">
        <f t="shared" si="254"/>
        <v>1670,02</v>
      </c>
      <c r="C491" s="34" t="str">
        <f>VLOOKUP(D491,[1]apoio_Preços_MGS!$A$6:$B$238,2,FALSE)</f>
        <v>PORTEIRO</v>
      </c>
      <c r="D491" s="35">
        <v>167</v>
      </c>
      <c r="E491" s="33" t="str">
        <f>VLOOKUP(D491,[1]apoio_Preços_MGS!$A$6:$F$238,6,FALSE)</f>
        <v>PORTEIRO - DIARISTA DIURNO - 30H</v>
      </c>
      <c r="F491" s="36">
        <f>IFERROR(VLOOKUP(D491,'[1]apoio_cód catmas'!$B$2:$C$863,2,FALSE),0)</f>
        <v>63525</v>
      </c>
      <c r="G491" s="33" t="str">
        <f>IF(H491="N/A",VLOOKUP(F491&amp;40,'[1]apoio_cód catmas'!$A$1:$G$233,4,FALSE),VLOOKUP(F491&amp;H491,'[1]apoio_cód catmas'!$A$1:$G$233,4,FALSE))</f>
        <v>PORTEIRO - 30H, 40H OU 44H</v>
      </c>
      <c r="H491" s="36">
        <v>30</v>
      </c>
      <c r="I491" s="37">
        <v>0.02</v>
      </c>
      <c r="J491" s="38" t="s">
        <v>46</v>
      </c>
      <c r="K491" s="39">
        <v>2</v>
      </c>
      <c r="L491" s="39">
        <f t="shared" si="238"/>
        <v>120</v>
      </c>
      <c r="M491" s="40">
        <f>VLOOKUP(D491,[1]apoio_Preços_MGS!$A$6:$AN$238,18,FALSE)</f>
        <v>1607.0528328134553</v>
      </c>
      <c r="N491" s="40">
        <f>VLOOKUP(D491,[1]apoio_Preços_MGS!$A$6:$AN$238,19,FALSE)</f>
        <v>0</v>
      </c>
      <c r="O491" s="40">
        <f>VLOOKUP(D491,[1]apoio_Preços_MGS!$A$6:$AN$238,20,FALSE)</f>
        <v>0</v>
      </c>
      <c r="P491" s="40">
        <f>VLOOKUP(D491,[1]apoio_Preços_MGS!$A$6:$AN$238,21,FALSE)</f>
        <v>0</v>
      </c>
      <c r="Q491" s="40">
        <f>VLOOKUP(D491,[1]apoio_Preços_MGS!$A$6:$AN$238,22,FALSE)</f>
        <v>0</v>
      </c>
      <c r="R491" s="40">
        <f>VLOOKUP(D491,[1]apoio_Preços_MGS!$A$6:$AN$238,23,FALSE)</f>
        <v>0</v>
      </c>
      <c r="S491" s="40">
        <f>VLOOKUP(D491,[1]apoio_Preços_MGS!$A$6:$AN$238,24,FALSE)</f>
        <v>0</v>
      </c>
      <c r="T491" s="40">
        <f>VLOOKUP(D491,[1]apoio_Preços_MGS!$A$6:$AN$238,25,FALSE)</f>
        <v>0</v>
      </c>
      <c r="U491" s="40">
        <f t="shared" si="247"/>
        <v>1607.0528328134553</v>
      </c>
      <c r="V491" s="41">
        <v>0.81799999999999995</v>
      </c>
      <c r="W491" s="40">
        <f t="shared" si="248"/>
        <v>1314.5692172414065</v>
      </c>
      <c r="X491" s="40">
        <f>VLOOKUP(D491,[1]apoio_Preços_MGS!$A$6:$AN$238,29,FALSE)</f>
        <v>52.672499999999992</v>
      </c>
      <c r="Y491" s="40">
        <f>VLOOKUP(D491,[1]apoio_Preços_MGS!$A$6:$AN$238,30,FALSE)</f>
        <v>1.721363914713578</v>
      </c>
      <c r="Z491" s="40">
        <f t="shared" si="239"/>
        <v>54.39386391471357</v>
      </c>
      <c r="AA491" s="40">
        <f>VLOOKUP(D491,[1]apoio_Preços_MGS!$A$6:$AN$238,32,FALSE)</f>
        <v>3.0855414390018341</v>
      </c>
      <c r="AB491" s="40">
        <f>VLOOKUP(D491,[1]apoio_Preços_MGS!$A$6:$AN$238,33,FALSE)</f>
        <v>139.04494233419689</v>
      </c>
      <c r="AC491" s="41">
        <f>VLOOKUP(D491,[1]apoio_Preços_MGS!$A$6:$AN$238,34,FALSE)</f>
        <v>3.403517673411495E-2</v>
      </c>
      <c r="AD491" s="40">
        <f>(U491+W491+Z491+AB491+AA491+VLOOKUP(C491,[1]apoio_Prec_Folha!$A:$S,7,FALSE))*AC491</f>
        <v>124.74138609874504</v>
      </c>
      <c r="AE491" s="42">
        <f>VLOOKUP(D491,[1]apoio_Preços_MGS!$A$6:$AN$238,36,FALSE)</f>
        <v>7.0000000000000007E-2</v>
      </c>
      <c r="AF491" s="40">
        <f>(U491+W491+Z491+AB491+AD491+AA491+VLOOKUP(C491,[1]apoio_Prec_Folha!$A:$S,7,FALSE))*AE491</f>
        <v>265.28696342560636</v>
      </c>
      <c r="AG491" s="40">
        <f t="shared" si="240"/>
        <v>3508.17</v>
      </c>
      <c r="AH491" s="43">
        <f t="shared" si="241"/>
        <v>3952.86</v>
      </c>
      <c r="AI491" s="43">
        <f t="shared" si="242"/>
        <v>7905.72</v>
      </c>
      <c r="AJ491" s="43">
        <f t="shared" si="243"/>
        <v>474343.2</v>
      </c>
      <c r="AK491" s="44">
        <f>VLOOKUP(D491,[1]apoio_Preços_MGS!$A$6:$AN$238,39,FALSE)</f>
        <v>136.36363636363637</v>
      </c>
      <c r="AL491" s="44">
        <f>IF(J491="demais municípios",VLOOKUP(D491,[1]apoio_Preços_MGS!$A$6:$AN$238,39,FALSE),0)</f>
        <v>136.36363636363637</v>
      </c>
      <c r="AM491" s="44">
        <v>0</v>
      </c>
      <c r="AN491" s="45">
        <f t="shared" si="263"/>
        <v>272.72727272727275</v>
      </c>
      <c r="AO491" s="44">
        <f>VLOOKUP(D491,[1]apoio_Preços_MGS!$A$6:$AN$238,40,FALSE)</f>
        <v>546.91999999999996</v>
      </c>
      <c r="AP491" s="44">
        <f>IF(J491="demais municípios",VLOOKUP(D491,[1]apoio_Preços_MGS!$A$6:$AN$238,40,FALSE),0)</f>
        <v>546.91999999999996</v>
      </c>
      <c r="AQ491" s="44">
        <v>0</v>
      </c>
      <c r="AR491" s="45">
        <f t="shared" si="264"/>
        <v>1093.8399999999999</v>
      </c>
      <c r="AS491" s="45">
        <f t="shared" si="255"/>
        <v>1366.5672727272727</v>
      </c>
      <c r="AT491" s="45">
        <f t="shared" si="256"/>
        <v>81994.036363636362</v>
      </c>
      <c r="AU491" s="62"/>
      <c r="AV491" s="46"/>
      <c r="AW491" s="47"/>
      <c r="AX491" s="48"/>
      <c r="AY491" s="49"/>
      <c r="BA491" s="48"/>
    </row>
    <row r="492" spans="1:53" ht="19.5" customHeight="1" x14ac:dyDescent="0.25">
      <c r="A492" s="33" t="str">
        <f t="shared" si="253"/>
        <v>63525300,03</v>
      </c>
      <c r="B492" s="33" t="str">
        <f t="shared" si="254"/>
        <v>1670,03</v>
      </c>
      <c r="C492" s="34" t="str">
        <f>VLOOKUP(D492,[1]apoio_Preços_MGS!$A$6:$B$238,2,FALSE)</f>
        <v>PORTEIRO</v>
      </c>
      <c r="D492" s="35">
        <v>167</v>
      </c>
      <c r="E492" s="33" t="str">
        <f>VLOOKUP(D492,[1]apoio_Preços_MGS!$A$6:$F$238,6,FALSE)</f>
        <v>PORTEIRO - DIARISTA DIURNO - 30H</v>
      </c>
      <c r="F492" s="36">
        <f>IFERROR(VLOOKUP(D492,'[1]apoio_cód catmas'!$B$2:$C$863,2,FALSE),0)</f>
        <v>63525</v>
      </c>
      <c r="G492" s="33" t="str">
        <f>IF(H492="N/A",VLOOKUP(F492&amp;40,'[1]apoio_cód catmas'!$A$1:$G$233,4,FALSE),VLOOKUP(F492&amp;H492,'[1]apoio_cód catmas'!$A$1:$G$233,4,FALSE))</f>
        <v>PORTEIRO - 30H, 40H OU 44H</v>
      </c>
      <c r="H492" s="36">
        <v>30</v>
      </c>
      <c r="I492" s="37">
        <v>0.03</v>
      </c>
      <c r="J492" s="38" t="s">
        <v>46</v>
      </c>
      <c r="K492" s="39">
        <v>4</v>
      </c>
      <c r="L492" s="39">
        <f t="shared" si="238"/>
        <v>240</v>
      </c>
      <c r="M492" s="40">
        <f>VLOOKUP(D492,[1]apoio_Preços_MGS!$A$6:$AN$238,18,FALSE)</f>
        <v>1607.0528328134553</v>
      </c>
      <c r="N492" s="40">
        <f>VLOOKUP(D492,[1]apoio_Preços_MGS!$A$6:$AN$238,19,FALSE)</f>
        <v>0</v>
      </c>
      <c r="O492" s="40">
        <f>VLOOKUP(D492,[1]apoio_Preços_MGS!$A$6:$AN$238,20,FALSE)</f>
        <v>0</v>
      </c>
      <c r="P492" s="40">
        <f>VLOOKUP(D492,[1]apoio_Preços_MGS!$A$6:$AN$238,21,FALSE)</f>
        <v>0</v>
      </c>
      <c r="Q492" s="40">
        <f>VLOOKUP(D492,[1]apoio_Preços_MGS!$A$6:$AN$238,22,FALSE)</f>
        <v>0</v>
      </c>
      <c r="R492" s="40">
        <f>VLOOKUP(D492,[1]apoio_Preços_MGS!$A$6:$AN$238,23,FALSE)</f>
        <v>0</v>
      </c>
      <c r="S492" s="40">
        <f>VLOOKUP(D492,[1]apoio_Preços_MGS!$A$6:$AN$238,24,FALSE)</f>
        <v>0</v>
      </c>
      <c r="T492" s="40">
        <f>VLOOKUP(D492,[1]apoio_Preços_MGS!$A$6:$AN$238,25,FALSE)</f>
        <v>0</v>
      </c>
      <c r="U492" s="40">
        <f t="shared" si="247"/>
        <v>1607.0528328134553</v>
      </c>
      <c r="V492" s="41">
        <v>0.81799999999999995</v>
      </c>
      <c r="W492" s="40">
        <f t="shared" si="248"/>
        <v>1314.5692172414065</v>
      </c>
      <c r="X492" s="40">
        <f>VLOOKUP(D492,[1]apoio_Preços_MGS!$A$6:$AN$238,29,FALSE)</f>
        <v>52.672499999999992</v>
      </c>
      <c r="Y492" s="40">
        <f>VLOOKUP(D492,[1]apoio_Preços_MGS!$A$6:$AN$238,30,FALSE)</f>
        <v>1.721363914713578</v>
      </c>
      <c r="Z492" s="40">
        <f t="shared" si="239"/>
        <v>54.39386391471357</v>
      </c>
      <c r="AA492" s="40">
        <f>VLOOKUP(D492,[1]apoio_Preços_MGS!$A$6:$AN$238,32,FALSE)</f>
        <v>3.0855414390018341</v>
      </c>
      <c r="AB492" s="40">
        <f>VLOOKUP(D492,[1]apoio_Preços_MGS!$A$6:$AN$238,33,FALSE)</f>
        <v>139.04494233419689</v>
      </c>
      <c r="AC492" s="41">
        <f>VLOOKUP(D492,[1]apoio_Preços_MGS!$A$6:$AN$238,34,FALSE)</f>
        <v>3.403517673411495E-2</v>
      </c>
      <c r="AD492" s="40">
        <f>(U492+W492+Z492+AB492+AA492+VLOOKUP(C492,[1]apoio_Prec_Folha!$A:$S,7,FALSE))*AC492</f>
        <v>124.74138609874504</v>
      </c>
      <c r="AE492" s="42">
        <f>VLOOKUP(D492,[1]apoio_Preços_MGS!$A$6:$AN$238,36,FALSE)</f>
        <v>7.0000000000000007E-2</v>
      </c>
      <c r="AF492" s="40">
        <f>(U492+W492+Z492+AB492+AD492+AA492+VLOOKUP(C492,[1]apoio_Prec_Folha!$A:$S,7,FALSE))*AE492</f>
        <v>265.28696342560636</v>
      </c>
      <c r="AG492" s="40">
        <f t="shared" si="240"/>
        <v>3508.17</v>
      </c>
      <c r="AH492" s="43">
        <f t="shared" si="241"/>
        <v>3997.91</v>
      </c>
      <c r="AI492" s="43">
        <f t="shared" si="242"/>
        <v>15991.64</v>
      </c>
      <c r="AJ492" s="43">
        <f t="shared" si="243"/>
        <v>959498.39999999991</v>
      </c>
      <c r="AK492" s="44">
        <f>VLOOKUP(D492,[1]apoio_Preços_MGS!$A$6:$AN$238,39,FALSE)</f>
        <v>136.36363636363637</v>
      </c>
      <c r="AL492" s="44">
        <f>IF(J492="demais municípios",VLOOKUP(D492,[1]apoio_Preços_MGS!$A$6:$AN$238,39,FALSE),0)</f>
        <v>136.36363636363637</v>
      </c>
      <c r="AM492" s="44">
        <v>0</v>
      </c>
      <c r="AN492" s="45">
        <f t="shared" si="263"/>
        <v>545.4545454545455</v>
      </c>
      <c r="AO492" s="44">
        <f>VLOOKUP(D492,[1]apoio_Preços_MGS!$A$6:$AN$238,40,FALSE)</f>
        <v>546.91999999999996</v>
      </c>
      <c r="AP492" s="44">
        <f>IF(J492="demais municípios",VLOOKUP(D492,[1]apoio_Preços_MGS!$A$6:$AN$238,40,FALSE),0)</f>
        <v>546.91999999999996</v>
      </c>
      <c r="AQ492" s="44">
        <v>0</v>
      </c>
      <c r="AR492" s="45">
        <f t="shared" si="264"/>
        <v>2187.6799999999998</v>
      </c>
      <c r="AS492" s="45">
        <f t="shared" si="255"/>
        <v>2733.1345454545453</v>
      </c>
      <c r="AT492" s="45">
        <f t="shared" si="256"/>
        <v>163988.07272727272</v>
      </c>
      <c r="AU492" s="62"/>
      <c r="AV492" s="46"/>
      <c r="AW492" s="47"/>
      <c r="AX492" s="48"/>
      <c r="AY492" s="49"/>
      <c r="BA492" s="48"/>
    </row>
    <row r="493" spans="1:53" ht="19.5" customHeight="1" x14ac:dyDescent="0.25">
      <c r="A493" s="33" t="str">
        <f t="shared" si="253"/>
        <v>63525300,05</v>
      </c>
      <c r="B493" s="33" t="str">
        <f t="shared" si="254"/>
        <v>1670,05</v>
      </c>
      <c r="C493" s="34" t="str">
        <f>VLOOKUP(D493,[1]apoio_Preços_MGS!$A$6:$B$238,2,FALSE)</f>
        <v>PORTEIRO</v>
      </c>
      <c r="D493" s="35">
        <v>167</v>
      </c>
      <c r="E493" s="33" t="str">
        <f>VLOOKUP(D493,[1]apoio_Preços_MGS!$A$6:$F$238,6,FALSE)</f>
        <v>PORTEIRO - DIARISTA DIURNO - 30H</v>
      </c>
      <c r="F493" s="36">
        <f>IFERROR(VLOOKUP(D493,'[1]apoio_cód catmas'!$B$2:$C$863,2,FALSE),0)</f>
        <v>63525</v>
      </c>
      <c r="G493" s="33" t="str">
        <f>IF(H493="N/A",VLOOKUP(F493&amp;40,'[1]apoio_cód catmas'!$A$1:$G$233,4,FALSE),VLOOKUP(F493&amp;H493,'[1]apoio_cód catmas'!$A$1:$G$233,4,FALSE))</f>
        <v>PORTEIRO - 30H, 40H OU 44H</v>
      </c>
      <c r="H493" s="36">
        <v>30</v>
      </c>
      <c r="I493" s="37">
        <v>0.05</v>
      </c>
      <c r="J493" s="38" t="s">
        <v>46</v>
      </c>
      <c r="K493" s="39">
        <v>2</v>
      </c>
      <c r="L493" s="39">
        <f t="shared" si="238"/>
        <v>120</v>
      </c>
      <c r="M493" s="40">
        <f>VLOOKUP(D493,[1]apoio_Preços_MGS!$A$6:$AN$238,18,FALSE)</f>
        <v>1607.0528328134553</v>
      </c>
      <c r="N493" s="40">
        <f>VLOOKUP(D493,[1]apoio_Preços_MGS!$A$6:$AN$238,19,FALSE)</f>
        <v>0</v>
      </c>
      <c r="O493" s="40">
        <f>VLOOKUP(D493,[1]apoio_Preços_MGS!$A$6:$AN$238,20,FALSE)</f>
        <v>0</v>
      </c>
      <c r="P493" s="40">
        <f>VLOOKUP(D493,[1]apoio_Preços_MGS!$A$6:$AN$238,21,FALSE)</f>
        <v>0</v>
      </c>
      <c r="Q493" s="40">
        <f>VLOOKUP(D493,[1]apoio_Preços_MGS!$A$6:$AN$238,22,FALSE)</f>
        <v>0</v>
      </c>
      <c r="R493" s="40">
        <f>VLOOKUP(D493,[1]apoio_Preços_MGS!$A$6:$AN$238,23,FALSE)</f>
        <v>0</v>
      </c>
      <c r="S493" s="40">
        <f>VLOOKUP(D493,[1]apoio_Preços_MGS!$A$6:$AN$238,24,FALSE)</f>
        <v>0</v>
      </c>
      <c r="T493" s="40">
        <f>VLOOKUP(D493,[1]apoio_Preços_MGS!$A$6:$AN$238,25,FALSE)</f>
        <v>0</v>
      </c>
      <c r="U493" s="40">
        <f t="shared" si="247"/>
        <v>1607.0528328134553</v>
      </c>
      <c r="V493" s="41">
        <v>0.81799999999999995</v>
      </c>
      <c r="W493" s="40">
        <f t="shared" si="248"/>
        <v>1314.5692172414065</v>
      </c>
      <c r="X493" s="40">
        <f>VLOOKUP(D493,[1]apoio_Preços_MGS!$A$6:$AN$238,29,FALSE)</f>
        <v>52.672499999999992</v>
      </c>
      <c r="Y493" s="40">
        <f>VLOOKUP(D493,[1]apoio_Preços_MGS!$A$6:$AN$238,30,FALSE)</f>
        <v>1.721363914713578</v>
      </c>
      <c r="Z493" s="40">
        <f t="shared" si="239"/>
        <v>54.39386391471357</v>
      </c>
      <c r="AA493" s="40">
        <f>VLOOKUP(D493,[1]apoio_Preços_MGS!$A$6:$AN$238,32,FALSE)</f>
        <v>3.0855414390018341</v>
      </c>
      <c r="AB493" s="40">
        <f>VLOOKUP(D493,[1]apoio_Preços_MGS!$A$6:$AN$238,33,FALSE)</f>
        <v>139.04494233419689</v>
      </c>
      <c r="AC493" s="41">
        <f>VLOOKUP(D493,[1]apoio_Preços_MGS!$A$6:$AN$238,34,FALSE)</f>
        <v>3.403517673411495E-2</v>
      </c>
      <c r="AD493" s="40">
        <f>(U493+W493+Z493+AB493+AA493+VLOOKUP(C493,[1]apoio_Prec_Folha!$A:$S,7,FALSE))*AC493</f>
        <v>124.74138609874504</v>
      </c>
      <c r="AE493" s="42">
        <f>VLOOKUP(D493,[1]apoio_Preços_MGS!$A$6:$AN$238,36,FALSE)</f>
        <v>7.0000000000000007E-2</v>
      </c>
      <c r="AF493" s="40">
        <f>(U493+W493+Z493+AB493+AD493+AA493+VLOOKUP(C493,[1]apoio_Prec_Folha!$A:$S,7,FALSE))*AE493</f>
        <v>265.28696342560636</v>
      </c>
      <c r="AG493" s="40">
        <f t="shared" si="240"/>
        <v>3508.17</v>
      </c>
      <c r="AH493" s="43">
        <f t="shared" si="241"/>
        <v>4091.15</v>
      </c>
      <c r="AI493" s="43">
        <f t="shared" si="242"/>
        <v>8182.3</v>
      </c>
      <c r="AJ493" s="43">
        <f t="shared" si="243"/>
        <v>490938</v>
      </c>
      <c r="AK493" s="44">
        <f>VLOOKUP(D493,[1]apoio_Preços_MGS!$A$6:$AN$238,39,FALSE)</f>
        <v>136.36363636363637</v>
      </c>
      <c r="AL493" s="44">
        <f>IF(J493="demais municípios",VLOOKUP(D493,[1]apoio_Preços_MGS!$A$6:$AN$238,39,FALSE),0)</f>
        <v>136.36363636363637</v>
      </c>
      <c r="AM493" s="44">
        <v>0</v>
      </c>
      <c r="AN493" s="45">
        <f t="shared" si="263"/>
        <v>272.72727272727275</v>
      </c>
      <c r="AO493" s="44">
        <f>VLOOKUP(D493,[1]apoio_Preços_MGS!$A$6:$AN$238,40,FALSE)</f>
        <v>546.91999999999996</v>
      </c>
      <c r="AP493" s="44">
        <f>IF(J493="demais municípios",VLOOKUP(D493,[1]apoio_Preços_MGS!$A$6:$AN$238,40,FALSE),0)</f>
        <v>546.91999999999996</v>
      </c>
      <c r="AQ493" s="44">
        <v>0</v>
      </c>
      <c r="AR493" s="45">
        <f t="shared" si="264"/>
        <v>1093.8399999999999</v>
      </c>
      <c r="AS493" s="45">
        <f t="shared" si="255"/>
        <v>1366.5672727272727</v>
      </c>
      <c r="AT493" s="45">
        <f t="shared" si="256"/>
        <v>81994.036363636362</v>
      </c>
      <c r="AU493" s="62"/>
      <c r="AV493" s="46"/>
      <c r="AW493" s="47"/>
      <c r="AX493" s="48"/>
      <c r="AY493" s="49"/>
      <c r="BA493" s="48"/>
    </row>
    <row r="494" spans="1:53" ht="19.5" customHeight="1" x14ac:dyDescent="0.25">
      <c r="A494" s="33" t="str">
        <f t="shared" si="253"/>
        <v>63525400,02</v>
      </c>
      <c r="B494" s="33" t="str">
        <f t="shared" si="254"/>
        <v>1650,02</v>
      </c>
      <c r="C494" s="34" t="str">
        <f>VLOOKUP(D494,[1]apoio_Preços_MGS!$A$6:$B$238,2,FALSE)</f>
        <v>PORTEIRO</v>
      </c>
      <c r="D494" s="35">
        <v>165</v>
      </c>
      <c r="E494" s="33" t="str">
        <f>VLOOKUP(D494,[1]apoio_Preços_MGS!$A$6:$F$238,6,FALSE)</f>
        <v>PORTEIRO - DIARISTA DIURNO - 40H</v>
      </c>
      <c r="F494" s="36">
        <f>IFERROR(VLOOKUP(D494,'[1]apoio_cód catmas'!$B$2:$C$863,2,FALSE),0)</f>
        <v>63525</v>
      </c>
      <c r="G494" s="33" t="str">
        <f>IF(H494="N/A",VLOOKUP(F494&amp;40,'[1]apoio_cód catmas'!$A$1:$G$233,4,FALSE),VLOOKUP(F494&amp;H494,'[1]apoio_cód catmas'!$A$1:$G$233,4,FALSE))</f>
        <v>PORTEIRO - 30H, 40H OU 44H</v>
      </c>
      <c r="H494" s="36">
        <v>40</v>
      </c>
      <c r="I494" s="37">
        <v>0.02</v>
      </c>
      <c r="J494" s="38" t="s">
        <v>46</v>
      </c>
      <c r="K494" s="39">
        <v>19</v>
      </c>
      <c r="L494" s="39">
        <f t="shared" si="238"/>
        <v>1140</v>
      </c>
      <c r="M494" s="40">
        <f>VLOOKUP(D494,[1]apoio_Preços_MGS!$A$6:$AN$238,18,FALSE)</f>
        <v>2142.7371104179406</v>
      </c>
      <c r="N494" s="40">
        <f>VLOOKUP(D494,[1]apoio_Preços_MGS!$A$6:$AN$238,19,FALSE)</f>
        <v>0</v>
      </c>
      <c r="O494" s="40">
        <f>VLOOKUP(D494,[1]apoio_Preços_MGS!$A$6:$AN$238,20,FALSE)</f>
        <v>0</v>
      </c>
      <c r="P494" s="40">
        <f>VLOOKUP(D494,[1]apoio_Preços_MGS!$A$6:$AN$238,21,FALSE)</f>
        <v>0</v>
      </c>
      <c r="Q494" s="40">
        <f>VLOOKUP(D494,[1]apoio_Preços_MGS!$A$6:$AN$238,22,FALSE)</f>
        <v>0</v>
      </c>
      <c r="R494" s="40">
        <f>VLOOKUP(D494,[1]apoio_Preços_MGS!$A$6:$AN$238,23,FALSE)</f>
        <v>0</v>
      </c>
      <c r="S494" s="40">
        <f>VLOOKUP(D494,[1]apoio_Preços_MGS!$A$6:$AN$238,24,FALSE)</f>
        <v>0</v>
      </c>
      <c r="T494" s="40">
        <f>VLOOKUP(D494,[1]apoio_Preços_MGS!$A$6:$AN$238,25,FALSE)</f>
        <v>0</v>
      </c>
      <c r="U494" s="40">
        <f t="shared" si="247"/>
        <v>2142.7371104179406</v>
      </c>
      <c r="V494" s="41">
        <v>0.81799999999999995</v>
      </c>
      <c r="W494" s="40">
        <f t="shared" si="248"/>
        <v>1752.7589563218753</v>
      </c>
      <c r="X494" s="40">
        <f>VLOOKUP(D494,[1]apoio_Preços_MGS!$A$6:$AN$238,29,FALSE)</f>
        <v>52.672499999999992</v>
      </c>
      <c r="Y494" s="40">
        <f>VLOOKUP(D494,[1]apoio_Preços_MGS!$A$6:$AN$238,30,FALSE)</f>
        <v>1.721363914713578</v>
      </c>
      <c r="Z494" s="40">
        <f t="shared" si="239"/>
        <v>54.39386391471357</v>
      </c>
      <c r="AA494" s="40">
        <f>VLOOKUP(D494,[1]apoio_Preços_MGS!$A$6:$AN$238,32,FALSE)</f>
        <v>4.1140552520024452</v>
      </c>
      <c r="AB494" s="40">
        <f>VLOOKUP(D494,[1]apoio_Preços_MGS!$A$6:$AN$238,33,FALSE)</f>
        <v>121.58518892992969</v>
      </c>
      <c r="AC494" s="41">
        <f>VLOOKUP(D494,[1]apoio_Preços_MGS!$A$6:$AN$238,34,FALSE)</f>
        <v>3.403517673411495E-2</v>
      </c>
      <c r="AD494" s="40">
        <f>(U494+W494+Z494+AB494+AA494+VLOOKUP(C494,[1]apoio_Prec_Folha!$A:$S,7,FALSE))*AC494</f>
        <v>157.32812022993051</v>
      </c>
      <c r="AE494" s="42">
        <f>VLOOKUP(D494,[1]apoio_Preços_MGS!$A$6:$AN$238,36,FALSE)</f>
        <v>7.0000000000000007E-2</v>
      </c>
      <c r="AF494" s="40">
        <f>(U494+W494+Z494+AB494+AD494+AA494+VLOOKUP(C494,[1]apoio_Prec_Folha!$A:$S,7,FALSE))*AE494</f>
        <v>334.58902921134751</v>
      </c>
      <c r="AG494" s="40">
        <f t="shared" si="240"/>
        <v>4567.5</v>
      </c>
      <c r="AH494" s="43">
        <f t="shared" si="241"/>
        <v>5146.47</v>
      </c>
      <c r="AI494" s="43">
        <f t="shared" si="242"/>
        <v>97782.930000000008</v>
      </c>
      <c r="AJ494" s="43">
        <f t="shared" si="243"/>
        <v>5866975.8000000007</v>
      </c>
      <c r="AK494" s="44">
        <f>VLOOKUP(D494,[1]apoio_Preços_MGS!$A$6:$AN$238,39,FALSE)</f>
        <v>181.81818181818184</v>
      </c>
      <c r="AL494" s="44">
        <f>IF(J494="demais municípios",VLOOKUP(D494,[1]apoio_Preços_MGS!$A$6:$AN$238,39,FALSE),0)</f>
        <v>181.81818181818184</v>
      </c>
      <c r="AM494" s="44">
        <v>0</v>
      </c>
      <c r="AN494" s="45">
        <f t="shared" si="263"/>
        <v>3454.545454545455</v>
      </c>
      <c r="AO494" s="44">
        <f>VLOOKUP(D494,[1]apoio_Preços_MGS!$A$6:$AN$238,40,FALSE)</f>
        <v>546.91999999999996</v>
      </c>
      <c r="AP494" s="44">
        <f>IF(J494="demais municípios",VLOOKUP(D494,[1]apoio_Preços_MGS!$A$6:$AN$238,40,FALSE),0)</f>
        <v>546.91999999999996</v>
      </c>
      <c r="AQ494" s="44">
        <v>0</v>
      </c>
      <c r="AR494" s="45">
        <f t="shared" si="264"/>
        <v>10391.48</v>
      </c>
      <c r="AS494" s="45">
        <f t="shared" si="255"/>
        <v>13846.025454545455</v>
      </c>
      <c r="AT494" s="45">
        <f t="shared" si="256"/>
        <v>830761.52727272734</v>
      </c>
      <c r="AU494" s="62"/>
      <c r="AV494" s="46"/>
      <c r="AW494" s="47"/>
      <c r="AX494" s="48"/>
      <c r="AY494" s="49"/>
      <c r="BA494" s="48"/>
    </row>
    <row r="495" spans="1:53" ht="19.5" customHeight="1" x14ac:dyDescent="0.25">
      <c r="A495" s="33" t="str">
        <f t="shared" si="253"/>
        <v>63525400,025</v>
      </c>
      <c r="B495" s="33" t="str">
        <f t="shared" si="254"/>
        <v>1650,025</v>
      </c>
      <c r="C495" s="34" t="str">
        <f>VLOOKUP(D495,[1]apoio_Preços_MGS!$A$6:$B$238,2,FALSE)</f>
        <v>PORTEIRO</v>
      </c>
      <c r="D495" s="35">
        <v>165</v>
      </c>
      <c r="E495" s="33" t="str">
        <f>VLOOKUP(D495,[1]apoio_Preços_MGS!$A$6:$F$238,6,FALSE)</f>
        <v>PORTEIRO - DIARISTA DIURNO - 40H</v>
      </c>
      <c r="F495" s="36">
        <f>IFERROR(VLOOKUP(D495,'[1]apoio_cód catmas'!$B$2:$C$863,2,FALSE),0)</f>
        <v>63525</v>
      </c>
      <c r="G495" s="33" t="str">
        <f>IF(H495="N/A",VLOOKUP(F495&amp;40,'[1]apoio_cód catmas'!$A$1:$G$233,4,FALSE),VLOOKUP(F495&amp;H495,'[1]apoio_cód catmas'!$A$1:$G$233,4,FALSE))</f>
        <v>PORTEIRO - 30H, 40H OU 44H</v>
      </c>
      <c r="H495" s="36">
        <v>40</v>
      </c>
      <c r="I495" s="37">
        <v>2.5000000000000001E-2</v>
      </c>
      <c r="J495" s="38" t="s">
        <v>46</v>
      </c>
      <c r="K495" s="39">
        <v>2</v>
      </c>
      <c r="L495" s="39">
        <f t="shared" si="238"/>
        <v>120</v>
      </c>
      <c r="M495" s="40">
        <f>VLOOKUP(D495,[1]apoio_Preços_MGS!$A$6:$AN$238,18,FALSE)</f>
        <v>2142.7371104179406</v>
      </c>
      <c r="N495" s="40">
        <f>VLOOKUP(D495,[1]apoio_Preços_MGS!$A$6:$AN$238,19,FALSE)</f>
        <v>0</v>
      </c>
      <c r="O495" s="40">
        <f>VLOOKUP(D495,[1]apoio_Preços_MGS!$A$6:$AN$238,20,FALSE)</f>
        <v>0</v>
      </c>
      <c r="P495" s="40">
        <f>VLOOKUP(D495,[1]apoio_Preços_MGS!$A$6:$AN$238,21,FALSE)</f>
        <v>0</v>
      </c>
      <c r="Q495" s="40">
        <f>VLOOKUP(D495,[1]apoio_Preços_MGS!$A$6:$AN$238,22,FALSE)</f>
        <v>0</v>
      </c>
      <c r="R495" s="40">
        <f>VLOOKUP(D495,[1]apoio_Preços_MGS!$A$6:$AN$238,23,FALSE)</f>
        <v>0</v>
      </c>
      <c r="S495" s="40">
        <f>VLOOKUP(D495,[1]apoio_Preços_MGS!$A$6:$AN$238,24,FALSE)</f>
        <v>0</v>
      </c>
      <c r="T495" s="40">
        <f>VLOOKUP(D495,[1]apoio_Preços_MGS!$A$6:$AN$238,25,FALSE)</f>
        <v>0</v>
      </c>
      <c r="U495" s="40">
        <f t="shared" si="247"/>
        <v>2142.7371104179406</v>
      </c>
      <c r="V495" s="41">
        <v>0.81799999999999995</v>
      </c>
      <c r="W495" s="40">
        <f t="shared" si="248"/>
        <v>1752.7589563218753</v>
      </c>
      <c r="X495" s="40">
        <f>VLOOKUP(D495,[1]apoio_Preços_MGS!$A$6:$AN$238,29,FALSE)</f>
        <v>52.672499999999992</v>
      </c>
      <c r="Y495" s="40">
        <f>VLOOKUP(D495,[1]apoio_Preços_MGS!$A$6:$AN$238,30,FALSE)</f>
        <v>1.721363914713578</v>
      </c>
      <c r="Z495" s="40">
        <f t="shared" si="239"/>
        <v>54.39386391471357</v>
      </c>
      <c r="AA495" s="40">
        <f>VLOOKUP(D495,[1]apoio_Preços_MGS!$A$6:$AN$238,32,FALSE)</f>
        <v>4.1140552520024452</v>
      </c>
      <c r="AB495" s="40">
        <f>VLOOKUP(D495,[1]apoio_Preços_MGS!$A$6:$AN$238,33,FALSE)</f>
        <v>121.58518892992969</v>
      </c>
      <c r="AC495" s="41">
        <f>VLOOKUP(D495,[1]apoio_Preços_MGS!$A$6:$AN$238,34,FALSE)</f>
        <v>3.403517673411495E-2</v>
      </c>
      <c r="AD495" s="40">
        <f>(U495+W495+Z495+AB495+AA495+VLOOKUP(C495,[1]apoio_Prec_Folha!$A:$S,7,FALSE))*AC495</f>
        <v>157.32812022993051</v>
      </c>
      <c r="AE495" s="42">
        <f>VLOOKUP(D495,[1]apoio_Preços_MGS!$A$6:$AN$238,36,FALSE)</f>
        <v>7.0000000000000007E-2</v>
      </c>
      <c r="AF495" s="40">
        <f>(U495+W495+Z495+AB495+AD495+AA495+VLOOKUP(C495,[1]apoio_Prec_Folha!$A:$S,7,FALSE))*AE495</f>
        <v>334.58902921134751</v>
      </c>
      <c r="AG495" s="40">
        <f t="shared" si="240"/>
        <v>4567.5</v>
      </c>
      <c r="AH495" s="43">
        <f t="shared" si="241"/>
        <v>5175.6099999999997</v>
      </c>
      <c r="AI495" s="43">
        <f t="shared" si="242"/>
        <v>10351.219999999999</v>
      </c>
      <c r="AJ495" s="43">
        <f t="shared" si="243"/>
        <v>621073.19999999995</v>
      </c>
      <c r="AK495" s="44">
        <f>VLOOKUP(D495,[1]apoio_Preços_MGS!$A$6:$AN$238,39,FALSE)</f>
        <v>181.81818181818184</v>
      </c>
      <c r="AL495" s="44">
        <f>IF(J495="demais municípios",VLOOKUP(D495,[1]apoio_Preços_MGS!$A$6:$AN$238,39,FALSE),0)</f>
        <v>181.81818181818184</v>
      </c>
      <c r="AM495" s="44">
        <v>0</v>
      </c>
      <c r="AN495" s="45">
        <f t="shared" si="263"/>
        <v>363.63636363636368</v>
      </c>
      <c r="AO495" s="44">
        <f>VLOOKUP(D495,[1]apoio_Preços_MGS!$A$6:$AN$238,40,FALSE)</f>
        <v>546.91999999999996</v>
      </c>
      <c r="AP495" s="44">
        <f>IF(J495="demais municípios",VLOOKUP(D495,[1]apoio_Preços_MGS!$A$6:$AN$238,40,FALSE),0)</f>
        <v>546.91999999999996</v>
      </c>
      <c r="AQ495" s="44">
        <v>0</v>
      </c>
      <c r="AR495" s="45">
        <f t="shared" si="264"/>
        <v>1093.8399999999999</v>
      </c>
      <c r="AS495" s="45">
        <f t="shared" si="255"/>
        <v>1457.4763636363637</v>
      </c>
      <c r="AT495" s="45">
        <f t="shared" si="256"/>
        <v>87448.581818181818</v>
      </c>
      <c r="AU495" s="62"/>
      <c r="AV495" s="46"/>
      <c r="AW495" s="47"/>
      <c r="AX495" s="48"/>
      <c r="AY495" s="49"/>
      <c r="BA495" s="48"/>
    </row>
    <row r="496" spans="1:53" ht="19.5" customHeight="1" x14ac:dyDescent="0.25">
      <c r="A496" s="33" t="str">
        <f t="shared" si="253"/>
        <v>63525400,03</v>
      </c>
      <c r="B496" s="33" t="str">
        <f t="shared" si="254"/>
        <v>1650,03</v>
      </c>
      <c r="C496" s="34" t="str">
        <f>VLOOKUP(D496,[1]apoio_Preços_MGS!$A$6:$B$238,2,FALSE)</f>
        <v>PORTEIRO</v>
      </c>
      <c r="D496" s="35">
        <v>165</v>
      </c>
      <c r="E496" s="33" t="str">
        <f>VLOOKUP(D496,[1]apoio_Preços_MGS!$A$6:$F$238,6,FALSE)</f>
        <v>PORTEIRO - DIARISTA DIURNO - 40H</v>
      </c>
      <c r="F496" s="36">
        <f>IFERROR(VLOOKUP(D496,'[1]apoio_cód catmas'!$B$2:$C$863,2,FALSE),0)</f>
        <v>63525</v>
      </c>
      <c r="G496" s="33" t="str">
        <f>IF(H496="N/A",VLOOKUP(F496&amp;40,'[1]apoio_cód catmas'!$A$1:$G$233,4,FALSE),VLOOKUP(F496&amp;H496,'[1]apoio_cód catmas'!$A$1:$G$233,4,FALSE))</f>
        <v>PORTEIRO - 30H, 40H OU 44H</v>
      </c>
      <c r="H496" s="36">
        <v>40</v>
      </c>
      <c r="I496" s="37">
        <v>0.03</v>
      </c>
      <c r="J496" s="38" t="s">
        <v>46</v>
      </c>
      <c r="K496" s="39">
        <f>41-2</f>
        <v>39</v>
      </c>
      <c r="L496" s="39">
        <f t="shared" si="238"/>
        <v>2340</v>
      </c>
      <c r="M496" s="40">
        <f>VLOOKUP(D496,[1]apoio_Preços_MGS!$A$6:$AN$238,18,FALSE)</f>
        <v>2142.7371104179406</v>
      </c>
      <c r="N496" s="40">
        <f>VLOOKUP(D496,[1]apoio_Preços_MGS!$A$6:$AN$238,19,FALSE)</f>
        <v>0</v>
      </c>
      <c r="O496" s="40">
        <f>VLOOKUP(D496,[1]apoio_Preços_MGS!$A$6:$AN$238,20,FALSE)</f>
        <v>0</v>
      </c>
      <c r="P496" s="40">
        <f>VLOOKUP(D496,[1]apoio_Preços_MGS!$A$6:$AN$238,21,FALSE)</f>
        <v>0</v>
      </c>
      <c r="Q496" s="40">
        <f>VLOOKUP(D496,[1]apoio_Preços_MGS!$A$6:$AN$238,22,FALSE)</f>
        <v>0</v>
      </c>
      <c r="R496" s="40">
        <f>VLOOKUP(D496,[1]apoio_Preços_MGS!$A$6:$AN$238,23,FALSE)</f>
        <v>0</v>
      </c>
      <c r="S496" s="40">
        <f>VLOOKUP(D496,[1]apoio_Preços_MGS!$A$6:$AN$238,24,FALSE)</f>
        <v>0</v>
      </c>
      <c r="T496" s="40">
        <f>VLOOKUP(D496,[1]apoio_Preços_MGS!$A$6:$AN$238,25,FALSE)</f>
        <v>0</v>
      </c>
      <c r="U496" s="40">
        <f t="shared" si="247"/>
        <v>2142.7371104179406</v>
      </c>
      <c r="V496" s="41">
        <f>VLOOKUP(D496,[1]apoio_Preços_MGS!$A$6:$AN$238,27,FALSE)</f>
        <v>0.81799999999999995</v>
      </c>
      <c r="W496" s="40">
        <f t="shared" si="248"/>
        <v>1752.7589563218753</v>
      </c>
      <c r="X496" s="40">
        <f>VLOOKUP(D496,[1]apoio_Preços_MGS!$A$6:$AN$238,29,FALSE)</f>
        <v>52.672499999999992</v>
      </c>
      <c r="Y496" s="40">
        <f>VLOOKUP(D496,[1]apoio_Preços_MGS!$A$6:$AN$238,30,FALSE)</f>
        <v>1.721363914713578</v>
      </c>
      <c r="Z496" s="40">
        <f t="shared" si="239"/>
        <v>54.39386391471357</v>
      </c>
      <c r="AA496" s="40">
        <f>VLOOKUP(D496,[1]apoio_Preços_MGS!$A$6:$AN$238,32,FALSE)</f>
        <v>4.1140552520024452</v>
      </c>
      <c r="AB496" s="40">
        <f>VLOOKUP(D496,[1]apoio_Preços_MGS!$A$6:$AN$238,33,FALSE)</f>
        <v>121.58518892992969</v>
      </c>
      <c r="AC496" s="41">
        <f>VLOOKUP(D496,[1]apoio_Preços_MGS!$A$6:$AN$238,34,FALSE)</f>
        <v>3.403517673411495E-2</v>
      </c>
      <c r="AD496" s="40">
        <f>(U496+W496+Z496+AB496+AA496+VLOOKUP(C496,[1]apoio_Prec_Folha!$A:$S,7,FALSE))*AC496</f>
        <v>157.32812022993051</v>
      </c>
      <c r="AE496" s="42">
        <f>VLOOKUP(D496,[1]apoio_Preços_MGS!$A$6:$AN$238,36,FALSE)</f>
        <v>7.0000000000000007E-2</v>
      </c>
      <c r="AF496" s="40">
        <f>(U496+W496+Z496+AB496+AD496+AA496+VLOOKUP(C496,[1]apoio_Prec_Folha!$A:$S,7,FALSE))*AE496</f>
        <v>334.58902921134751</v>
      </c>
      <c r="AG496" s="40">
        <f t="shared" si="240"/>
        <v>4567.5</v>
      </c>
      <c r="AH496" s="43">
        <f t="shared" si="241"/>
        <v>5205.12</v>
      </c>
      <c r="AI496" s="43">
        <f t="shared" si="242"/>
        <v>202999.67999999999</v>
      </c>
      <c r="AJ496" s="43">
        <f t="shared" si="243"/>
        <v>12179980.799999999</v>
      </c>
      <c r="AK496" s="44">
        <f>VLOOKUP(D496,[1]apoio_Preços_MGS!$A$6:$AN$238,39,FALSE)</f>
        <v>181.81818181818184</v>
      </c>
      <c r="AL496" s="44">
        <f>IF(J496="demais municípios",VLOOKUP(D496,[1]apoio_Preços_MGS!$A$6:$AN$238,39,FALSE),0)</f>
        <v>181.81818181818184</v>
      </c>
      <c r="AM496" s="44">
        <v>0</v>
      </c>
      <c r="AN496" s="45">
        <f t="shared" si="263"/>
        <v>7090.9090909090919</v>
      </c>
      <c r="AO496" s="44">
        <f>VLOOKUP(D496,[1]apoio_Preços_MGS!$A$6:$AN$238,40,FALSE)</f>
        <v>546.91999999999996</v>
      </c>
      <c r="AP496" s="44">
        <f>IF(J496="demais municípios",VLOOKUP(D496,[1]apoio_Preços_MGS!$A$6:$AN$238,40,FALSE),0)</f>
        <v>546.91999999999996</v>
      </c>
      <c r="AQ496" s="44">
        <v>0</v>
      </c>
      <c r="AR496" s="45">
        <f t="shared" si="264"/>
        <v>21329.879999999997</v>
      </c>
      <c r="AS496" s="45">
        <f t="shared" si="255"/>
        <v>28420.789090909089</v>
      </c>
      <c r="AT496" s="45">
        <f t="shared" si="256"/>
        <v>1705247.3454545455</v>
      </c>
      <c r="AU496" s="62"/>
      <c r="AV496" s="46"/>
      <c r="AW496" s="47"/>
      <c r="AX496" s="48"/>
      <c r="AY496" s="49"/>
      <c r="BA496" s="48"/>
    </row>
    <row r="497" spans="1:53" ht="19.5" customHeight="1" x14ac:dyDescent="0.25">
      <c r="A497" s="33" t="str">
        <f t="shared" si="253"/>
        <v>63525400,035</v>
      </c>
      <c r="B497" s="33" t="str">
        <f t="shared" si="254"/>
        <v>1650,035</v>
      </c>
      <c r="C497" s="34" t="str">
        <f>VLOOKUP(D497,[1]apoio_Preços_MGS!$A$6:$B$238,2,FALSE)</f>
        <v>PORTEIRO</v>
      </c>
      <c r="D497" s="35">
        <v>165</v>
      </c>
      <c r="E497" s="33" t="str">
        <f>VLOOKUP(D497,[1]apoio_Preços_MGS!$A$6:$F$238,6,FALSE)</f>
        <v>PORTEIRO - DIARISTA DIURNO - 40H</v>
      </c>
      <c r="F497" s="36">
        <f>IFERROR(VLOOKUP(D497,'[1]apoio_cód catmas'!$B$2:$C$863,2,FALSE),0)</f>
        <v>63525</v>
      </c>
      <c r="G497" s="33" t="str">
        <f>IF(H497="N/A",VLOOKUP(F497&amp;40,'[1]apoio_cód catmas'!$A$1:$G$233,4,FALSE),VLOOKUP(F497&amp;H497,'[1]apoio_cód catmas'!$A$1:$G$233,4,FALSE))</f>
        <v>PORTEIRO - 30H, 40H OU 44H</v>
      </c>
      <c r="H497" s="36">
        <v>40</v>
      </c>
      <c r="I497" s="37">
        <v>3.5000000000000003E-2</v>
      </c>
      <c r="J497" s="38" t="s">
        <v>46</v>
      </c>
      <c r="K497" s="39">
        <v>11</v>
      </c>
      <c r="L497" s="39">
        <f t="shared" si="238"/>
        <v>660</v>
      </c>
      <c r="M497" s="40">
        <f>VLOOKUP(D497,[1]apoio_Preços_MGS!$A$6:$AN$238,18,FALSE)</f>
        <v>2142.7371104179406</v>
      </c>
      <c r="N497" s="40">
        <f>VLOOKUP(D497,[1]apoio_Preços_MGS!$A$6:$AN$238,19,FALSE)</f>
        <v>0</v>
      </c>
      <c r="O497" s="40">
        <f>VLOOKUP(D497,[1]apoio_Preços_MGS!$A$6:$AN$238,20,FALSE)</f>
        <v>0</v>
      </c>
      <c r="P497" s="40">
        <f>VLOOKUP(D497,[1]apoio_Preços_MGS!$A$6:$AN$238,21,FALSE)</f>
        <v>0</v>
      </c>
      <c r="Q497" s="40">
        <f>VLOOKUP(D497,[1]apoio_Preços_MGS!$A$6:$AN$238,22,FALSE)</f>
        <v>0</v>
      </c>
      <c r="R497" s="40">
        <f>VLOOKUP(D497,[1]apoio_Preços_MGS!$A$6:$AN$238,23,FALSE)</f>
        <v>0</v>
      </c>
      <c r="S497" s="40">
        <f>VLOOKUP(D497,[1]apoio_Preços_MGS!$A$6:$AN$238,24,FALSE)</f>
        <v>0</v>
      </c>
      <c r="T497" s="40">
        <f>VLOOKUP(D497,[1]apoio_Preços_MGS!$A$6:$AN$238,25,FALSE)</f>
        <v>0</v>
      </c>
      <c r="U497" s="40">
        <f t="shared" si="247"/>
        <v>2142.7371104179406</v>
      </c>
      <c r="V497" s="41">
        <v>0.81799999999999995</v>
      </c>
      <c r="W497" s="40">
        <f t="shared" si="248"/>
        <v>1752.7589563218753</v>
      </c>
      <c r="X497" s="40">
        <f>VLOOKUP(D497,[1]apoio_Preços_MGS!$A$6:$AN$238,29,FALSE)</f>
        <v>52.672499999999992</v>
      </c>
      <c r="Y497" s="40">
        <f>VLOOKUP(D497,[1]apoio_Preços_MGS!$A$6:$AN$238,30,FALSE)</f>
        <v>1.721363914713578</v>
      </c>
      <c r="Z497" s="40">
        <f t="shared" si="239"/>
        <v>54.39386391471357</v>
      </c>
      <c r="AA497" s="40">
        <f>VLOOKUP(D497,[1]apoio_Preços_MGS!$A$6:$AN$238,32,FALSE)</f>
        <v>4.1140552520024452</v>
      </c>
      <c r="AB497" s="40">
        <f>VLOOKUP(D497,[1]apoio_Preços_MGS!$A$6:$AN$238,33,FALSE)</f>
        <v>121.58518892992969</v>
      </c>
      <c r="AC497" s="41">
        <f>VLOOKUP(D497,[1]apoio_Preços_MGS!$A$6:$AN$238,34,FALSE)</f>
        <v>3.403517673411495E-2</v>
      </c>
      <c r="AD497" s="40">
        <f>(U497+W497+Z497+AB497+AA497+VLOOKUP(C497,[1]apoio_Prec_Folha!$A:$S,7,FALSE))*AC497</f>
        <v>157.32812022993051</v>
      </c>
      <c r="AE497" s="42">
        <f>VLOOKUP(D497,[1]apoio_Preços_MGS!$A$6:$AN$238,36,FALSE)</f>
        <v>7.0000000000000007E-2</v>
      </c>
      <c r="AF497" s="40">
        <f>(U497+W497+Z497+AB497+AD497+AA497+VLOOKUP(C497,[1]apoio_Prec_Folha!$A:$S,7,FALSE))*AE497</f>
        <v>334.58902921134751</v>
      </c>
      <c r="AG497" s="40">
        <f t="shared" si="240"/>
        <v>4567.5</v>
      </c>
      <c r="AH497" s="43">
        <f t="shared" si="241"/>
        <v>5234.9399999999996</v>
      </c>
      <c r="AI497" s="43">
        <f t="shared" si="242"/>
        <v>57584.34</v>
      </c>
      <c r="AJ497" s="43">
        <f t="shared" si="243"/>
        <v>3455060.4</v>
      </c>
      <c r="AK497" s="44">
        <f>VLOOKUP(D497,[1]apoio_Preços_MGS!$A$6:$AN$238,39,FALSE)</f>
        <v>181.81818181818184</v>
      </c>
      <c r="AL497" s="44">
        <f>IF(J497="demais municípios",VLOOKUP(D497,[1]apoio_Preços_MGS!$A$6:$AN$238,39,FALSE),0)</f>
        <v>181.81818181818184</v>
      </c>
      <c r="AM497" s="44">
        <v>0</v>
      </c>
      <c r="AN497" s="45">
        <f t="shared" si="263"/>
        <v>2000.0000000000002</v>
      </c>
      <c r="AO497" s="44">
        <f>VLOOKUP(D497,[1]apoio_Preços_MGS!$A$6:$AN$238,40,FALSE)</f>
        <v>546.91999999999996</v>
      </c>
      <c r="AP497" s="44">
        <f>IF(J497="demais municípios",VLOOKUP(D497,[1]apoio_Preços_MGS!$A$6:$AN$238,40,FALSE),0)</f>
        <v>546.91999999999996</v>
      </c>
      <c r="AQ497" s="44">
        <v>0</v>
      </c>
      <c r="AR497" s="45">
        <f t="shared" si="264"/>
        <v>6016.12</v>
      </c>
      <c r="AS497" s="45">
        <f t="shared" si="255"/>
        <v>8016.12</v>
      </c>
      <c r="AT497" s="45">
        <f t="shared" si="256"/>
        <v>480967.2</v>
      </c>
      <c r="AU497" s="62"/>
      <c r="AV497" s="46"/>
      <c r="AW497" s="47"/>
      <c r="AX497" s="48"/>
      <c r="AY497" s="49"/>
      <c r="BA497" s="48"/>
    </row>
    <row r="498" spans="1:53" ht="19.5" customHeight="1" x14ac:dyDescent="0.25">
      <c r="A498" s="33" t="str">
        <f t="shared" si="253"/>
        <v>63525400,04</v>
      </c>
      <c r="B498" s="33" t="str">
        <f t="shared" si="254"/>
        <v>1650,04</v>
      </c>
      <c r="C498" s="34" t="str">
        <f>VLOOKUP(D498,[1]apoio_Preços_MGS!$A$6:$B$238,2,FALSE)</f>
        <v>PORTEIRO</v>
      </c>
      <c r="D498" s="35">
        <v>165</v>
      </c>
      <c r="E498" s="33" t="str">
        <f>VLOOKUP(D498,[1]apoio_Preços_MGS!$A$6:$F$238,6,FALSE)</f>
        <v>PORTEIRO - DIARISTA DIURNO - 40H</v>
      </c>
      <c r="F498" s="36">
        <f>IFERROR(VLOOKUP(D498,'[1]apoio_cód catmas'!$B$2:$C$863,2,FALSE),0)</f>
        <v>63525</v>
      </c>
      <c r="G498" s="33" t="str">
        <f>IF(H498="N/A",VLOOKUP(F498&amp;40,'[1]apoio_cód catmas'!$A$1:$G$233,4,FALSE),VLOOKUP(F498&amp;H498,'[1]apoio_cód catmas'!$A$1:$G$233,4,FALSE))</f>
        <v>PORTEIRO - 30H, 40H OU 44H</v>
      </c>
      <c r="H498" s="36">
        <v>40</v>
      </c>
      <c r="I498" s="37">
        <v>0.04</v>
      </c>
      <c r="J498" s="38" t="s">
        <v>46</v>
      </c>
      <c r="K498" s="39">
        <v>13</v>
      </c>
      <c r="L498" s="39">
        <f t="shared" si="238"/>
        <v>780</v>
      </c>
      <c r="M498" s="40">
        <f>VLOOKUP(D498,[1]apoio_Preços_MGS!$A$6:$AN$238,18,FALSE)</f>
        <v>2142.7371104179406</v>
      </c>
      <c r="N498" s="40">
        <f>VLOOKUP(D498,[1]apoio_Preços_MGS!$A$6:$AN$238,19,FALSE)</f>
        <v>0</v>
      </c>
      <c r="O498" s="40">
        <f>VLOOKUP(D498,[1]apoio_Preços_MGS!$A$6:$AN$238,20,FALSE)</f>
        <v>0</v>
      </c>
      <c r="P498" s="40">
        <f>VLOOKUP(D498,[1]apoio_Preços_MGS!$A$6:$AN$238,21,FALSE)</f>
        <v>0</v>
      </c>
      <c r="Q498" s="40">
        <f>VLOOKUP(D498,[1]apoio_Preços_MGS!$A$6:$AN$238,22,FALSE)</f>
        <v>0</v>
      </c>
      <c r="R498" s="40">
        <f>VLOOKUP(D498,[1]apoio_Preços_MGS!$A$6:$AN$238,23,FALSE)</f>
        <v>0</v>
      </c>
      <c r="S498" s="40">
        <f>VLOOKUP(D498,[1]apoio_Preços_MGS!$A$6:$AN$238,24,FALSE)</f>
        <v>0</v>
      </c>
      <c r="T498" s="40">
        <f>VLOOKUP(D498,[1]apoio_Preços_MGS!$A$6:$AN$238,25,FALSE)</f>
        <v>0</v>
      </c>
      <c r="U498" s="40">
        <f t="shared" si="247"/>
        <v>2142.7371104179406</v>
      </c>
      <c r="V498" s="41">
        <v>0.81799999999999995</v>
      </c>
      <c r="W498" s="40">
        <f t="shared" si="248"/>
        <v>1752.7589563218753</v>
      </c>
      <c r="X498" s="40">
        <f>VLOOKUP(D498,[1]apoio_Preços_MGS!$A$6:$AN$238,29,FALSE)</f>
        <v>52.672499999999992</v>
      </c>
      <c r="Y498" s="40">
        <f>VLOOKUP(D498,[1]apoio_Preços_MGS!$A$6:$AN$238,30,FALSE)</f>
        <v>1.721363914713578</v>
      </c>
      <c r="Z498" s="40">
        <f t="shared" si="239"/>
        <v>54.39386391471357</v>
      </c>
      <c r="AA498" s="40">
        <f>VLOOKUP(D498,[1]apoio_Preços_MGS!$A$6:$AN$238,32,FALSE)</f>
        <v>4.1140552520024452</v>
      </c>
      <c r="AB498" s="40">
        <f>VLOOKUP(D498,[1]apoio_Preços_MGS!$A$6:$AN$238,33,FALSE)</f>
        <v>121.58518892992969</v>
      </c>
      <c r="AC498" s="41">
        <f>VLOOKUP(D498,[1]apoio_Preços_MGS!$A$6:$AN$238,34,FALSE)</f>
        <v>3.403517673411495E-2</v>
      </c>
      <c r="AD498" s="40">
        <f>(U498+W498+Z498+AB498+AA498+VLOOKUP(C498,[1]apoio_Prec_Folha!$A:$S,7,FALSE))*AC498</f>
        <v>157.32812022993051</v>
      </c>
      <c r="AE498" s="42">
        <f>VLOOKUP(D498,[1]apoio_Preços_MGS!$A$6:$AN$238,36,FALSE)</f>
        <v>7.0000000000000007E-2</v>
      </c>
      <c r="AF498" s="40">
        <f>(U498+W498+Z498+AB498+AD498+AA498+VLOOKUP(C498,[1]apoio_Prec_Folha!$A:$S,7,FALSE))*AE498</f>
        <v>334.58902921134751</v>
      </c>
      <c r="AG498" s="40">
        <f t="shared" si="240"/>
        <v>4567.5</v>
      </c>
      <c r="AH498" s="43">
        <f t="shared" si="241"/>
        <v>5265.13</v>
      </c>
      <c r="AI498" s="43">
        <f t="shared" si="242"/>
        <v>68446.69</v>
      </c>
      <c r="AJ498" s="43">
        <f t="shared" si="243"/>
        <v>4106801.4</v>
      </c>
      <c r="AK498" s="44">
        <f>VLOOKUP(D498,[1]apoio_Preços_MGS!$A$6:$AN$238,39,FALSE)</f>
        <v>181.81818181818184</v>
      </c>
      <c r="AL498" s="44">
        <f>IF(J498="demais municípios",VLOOKUP(D498,[1]apoio_Preços_MGS!$A$6:$AN$238,39,FALSE),0)</f>
        <v>181.81818181818184</v>
      </c>
      <c r="AM498" s="44">
        <v>0</v>
      </c>
      <c r="AN498" s="45">
        <f t="shared" si="263"/>
        <v>2363.636363636364</v>
      </c>
      <c r="AO498" s="44">
        <f>VLOOKUP(D498,[1]apoio_Preços_MGS!$A$6:$AN$238,40,FALSE)</f>
        <v>546.91999999999996</v>
      </c>
      <c r="AP498" s="44">
        <f>IF(J498="demais municípios",VLOOKUP(D498,[1]apoio_Preços_MGS!$A$6:$AN$238,40,FALSE),0)</f>
        <v>546.91999999999996</v>
      </c>
      <c r="AQ498" s="44">
        <v>0</v>
      </c>
      <c r="AR498" s="45">
        <f t="shared" si="264"/>
        <v>7109.9599999999991</v>
      </c>
      <c r="AS498" s="45">
        <f t="shared" si="255"/>
        <v>9473.5963636363631</v>
      </c>
      <c r="AT498" s="45">
        <f t="shared" si="256"/>
        <v>568415.78181818174</v>
      </c>
      <c r="AU498" s="62"/>
      <c r="AV498" s="46"/>
      <c r="AW498" s="47"/>
      <c r="AX498" s="48"/>
      <c r="AY498" s="49"/>
      <c r="BA498" s="48"/>
    </row>
    <row r="499" spans="1:53" ht="19.5" customHeight="1" x14ac:dyDescent="0.25">
      <c r="A499" s="33" t="str">
        <f t="shared" si="253"/>
        <v>63525400,05</v>
      </c>
      <c r="B499" s="33" t="str">
        <f t="shared" si="254"/>
        <v>1650,05</v>
      </c>
      <c r="C499" s="34" t="str">
        <f>VLOOKUP(D499,[1]apoio_Preços_MGS!$A$6:$B$238,2,FALSE)</f>
        <v>PORTEIRO</v>
      </c>
      <c r="D499" s="35">
        <v>165</v>
      </c>
      <c r="E499" s="33" t="str">
        <f>VLOOKUP(D499,[1]apoio_Preços_MGS!$A$6:$F$238,6,FALSE)</f>
        <v>PORTEIRO - DIARISTA DIURNO - 40H</v>
      </c>
      <c r="F499" s="36">
        <f>IFERROR(VLOOKUP(D499,'[1]apoio_cód catmas'!$B$2:$C$863,2,FALSE),0)</f>
        <v>63525</v>
      </c>
      <c r="G499" s="33" t="str">
        <f>IF(H499="N/A",VLOOKUP(F499&amp;40,'[1]apoio_cód catmas'!$A$1:$G$233,4,FALSE),VLOOKUP(F499&amp;H499,'[1]apoio_cód catmas'!$A$1:$G$233,4,FALSE))</f>
        <v>PORTEIRO - 30H, 40H OU 44H</v>
      </c>
      <c r="H499" s="36">
        <v>40</v>
      </c>
      <c r="I499" s="37">
        <v>0.05</v>
      </c>
      <c r="J499" s="38" t="s">
        <v>46</v>
      </c>
      <c r="K499" s="39">
        <v>2</v>
      </c>
      <c r="L499" s="39">
        <f>K499*56</f>
        <v>112</v>
      </c>
      <c r="M499" s="40">
        <f>VLOOKUP(D499,[1]apoio_Preços_MGS!$A$6:$AN$238,18,FALSE)</f>
        <v>2142.7371104179406</v>
      </c>
      <c r="N499" s="40">
        <f>VLOOKUP(D499,[1]apoio_Preços_MGS!$A$6:$AN$238,19,FALSE)</f>
        <v>0</v>
      </c>
      <c r="O499" s="40">
        <f>VLOOKUP(D499,[1]apoio_Preços_MGS!$A$6:$AN$238,20,FALSE)</f>
        <v>0</v>
      </c>
      <c r="P499" s="40">
        <f>VLOOKUP(D499,[1]apoio_Preços_MGS!$A$6:$AN$238,21,FALSE)</f>
        <v>0</v>
      </c>
      <c r="Q499" s="40">
        <f>VLOOKUP(D499,[1]apoio_Preços_MGS!$A$6:$AN$238,22,FALSE)</f>
        <v>0</v>
      </c>
      <c r="R499" s="40">
        <f>VLOOKUP(D499,[1]apoio_Preços_MGS!$A$6:$AN$238,23,FALSE)</f>
        <v>0</v>
      </c>
      <c r="S499" s="40">
        <f>VLOOKUP(D499,[1]apoio_Preços_MGS!$A$6:$AN$238,24,FALSE)</f>
        <v>0</v>
      </c>
      <c r="T499" s="40">
        <f>VLOOKUP(D499,[1]apoio_Preços_MGS!$A$6:$AN$238,25,FALSE)</f>
        <v>0</v>
      </c>
      <c r="U499" s="40">
        <f t="shared" si="247"/>
        <v>2142.7371104179406</v>
      </c>
      <c r="V499" s="41">
        <v>0.81799999999999995</v>
      </c>
      <c r="W499" s="40">
        <f t="shared" si="248"/>
        <v>1752.7589563218753</v>
      </c>
      <c r="X499" s="40">
        <f>VLOOKUP(D499,[1]apoio_Preços_MGS!$A$6:$AN$238,29,FALSE)</f>
        <v>52.672499999999992</v>
      </c>
      <c r="Y499" s="40">
        <f>VLOOKUP(D499,[1]apoio_Preços_MGS!$A$6:$AN$238,30,FALSE)</f>
        <v>1.721363914713578</v>
      </c>
      <c r="Z499" s="40">
        <f t="shared" si="239"/>
        <v>54.39386391471357</v>
      </c>
      <c r="AA499" s="40">
        <f>VLOOKUP(D499,[1]apoio_Preços_MGS!$A$6:$AN$238,32,FALSE)</f>
        <v>4.1140552520024452</v>
      </c>
      <c r="AB499" s="40">
        <f>VLOOKUP(D499,[1]apoio_Preços_MGS!$A$6:$AN$238,33,FALSE)</f>
        <v>121.58518892992969</v>
      </c>
      <c r="AC499" s="41">
        <f>VLOOKUP(D499,[1]apoio_Preços_MGS!$A$6:$AN$238,34,FALSE)</f>
        <v>3.403517673411495E-2</v>
      </c>
      <c r="AD499" s="40">
        <f>(U499+W499+Z499+AB499+AA499+VLOOKUP(C499,[1]apoio_Prec_Folha!$A:$S,7,FALSE))*AC499</f>
        <v>157.32812022993051</v>
      </c>
      <c r="AE499" s="42">
        <f>VLOOKUP(D499,[1]apoio_Preços_MGS!$A$6:$AN$238,36,FALSE)</f>
        <v>7.0000000000000007E-2</v>
      </c>
      <c r="AF499" s="40">
        <f>(U499+W499+Z499+AB499+AD499+AA499+VLOOKUP(C499,[1]apoio_Prec_Folha!$A:$S,7,FALSE))*AE499</f>
        <v>334.58902921134751</v>
      </c>
      <c r="AG499" s="40">
        <f t="shared" si="240"/>
        <v>4567.5</v>
      </c>
      <c r="AH499" s="43">
        <f t="shared" si="241"/>
        <v>5326.52</v>
      </c>
      <c r="AI499" s="43">
        <f t="shared" si="242"/>
        <v>10653.04</v>
      </c>
      <c r="AJ499" s="43">
        <f t="shared" si="243"/>
        <v>596570.24</v>
      </c>
      <c r="AK499" s="44">
        <f>VLOOKUP(D499,[1]apoio_Preços_MGS!$A$6:$AN$238,39,FALSE)</f>
        <v>181.81818181818184</v>
      </c>
      <c r="AL499" s="44">
        <f>IF(J499="demais municípios",VLOOKUP(D499,[1]apoio_Preços_MGS!$A$6:$AN$238,39,FALSE),0)</f>
        <v>181.81818181818184</v>
      </c>
      <c r="AM499" s="44">
        <v>0</v>
      </c>
      <c r="AN499" s="45">
        <f t="shared" si="263"/>
        <v>363.63636363636368</v>
      </c>
      <c r="AO499" s="44">
        <f>VLOOKUP(D499,[1]apoio_Preços_MGS!$A$6:$AN$238,40,FALSE)</f>
        <v>546.91999999999996</v>
      </c>
      <c r="AP499" s="44">
        <f>IF(J499="demais municípios",VLOOKUP(D499,[1]apoio_Preços_MGS!$A$6:$AN$238,40,FALSE),0)</f>
        <v>546.91999999999996</v>
      </c>
      <c r="AQ499" s="44">
        <v>0</v>
      </c>
      <c r="AR499" s="45">
        <f t="shared" si="264"/>
        <v>1093.8399999999999</v>
      </c>
      <c r="AS499" s="45">
        <f t="shared" si="255"/>
        <v>1457.4763636363637</v>
      </c>
      <c r="AT499" s="45">
        <f t="shared" si="256"/>
        <v>87448.581818181818</v>
      </c>
      <c r="AU499" s="62"/>
      <c r="AV499" s="46"/>
      <c r="AW499" s="47"/>
      <c r="AX499" s="48"/>
      <c r="AY499" s="49"/>
      <c r="BA499" s="48"/>
    </row>
    <row r="500" spans="1:53" ht="19.5" customHeight="1" x14ac:dyDescent="0.25">
      <c r="A500" s="33" t="str">
        <f t="shared" si="253"/>
        <v>63525400,05</v>
      </c>
      <c r="B500" s="33" t="str">
        <f t="shared" si="254"/>
        <v>1650,05</v>
      </c>
      <c r="C500" s="34" t="str">
        <f>VLOOKUP(D500,[1]apoio_Preços_MGS!$A$6:$B$238,2,FALSE)</f>
        <v>PORTEIRO</v>
      </c>
      <c r="D500" s="35">
        <v>165</v>
      </c>
      <c r="E500" s="33" t="str">
        <f>VLOOKUP(D500,[1]apoio_Preços_MGS!$A$6:$F$238,6,FALSE)</f>
        <v>PORTEIRO - DIARISTA DIURNO - 40H</v>
      </c>
      <c r="F500" s="36">
        <f>IFERROR(VLOOKUP(D500,'[1]apoio_cód catmas'!$B$2:$C$863,2,FALSE),0)</f>
        <v>63525</v>
      </c>
      <c r="G500" s="33" t="str">
        <f>IF(H500="N/A",VLOOKUP(F500&amp;40,'[1]apoio_cód catmas'!$A$1:$G$233,4,FALSE),VLOOKUP(F500&amp;H500,'[1]apoio_cód catmas'!$A$1:$G$233,4,FALSE))</f>
        <v>PORTEIRO - 30H, 40H OU 44H</v>
      </c>
      <c r="H500" s="36">
        <v>40</v>
      </c>
      <c r="I500" s="37">
        <v>0.05</v>
      </c>
      <c r="J500" s="38" t="s">
        <v>46</v>
      </c>
      <c r="K500" s="39">
        <v>16</v>
      </c>
      <c r="L500" s="39">
        <f t="shared" si="238"/>
        <v>960</v>
      </c>
      <c r="M500" s="40">
        <f>VLOOKUP(D500,[1]apoio_Preços_MGS!$A$6:$AN$238,18,FALSE)</f>
        <v>2142.7371104179406</v>
      </c>
      <c r="N500" s="40">
        <f>VLOOKUP(D500,[1]apoio_Preços_MGS!$A$6:$AN$238,19,FALSE)</f>
        <v>0</v>
      </c>
      <c r="O500" s="40">
        <f>VLOOKUP(D500,[1]apoio_Preços_MGS!$A$6:$AN$238,20,FALSE)</f>
        <v>0</v>
      </c>
      <c r="P500" s="40">
        <f>VLOOKUP(D500,[1]apoio_Preços_MGS!$A$6:$AN$238,21,FALSE)</f>
        <v>0</v>
      </c>
      <c r="Q500" s="40">
        <f>VLOOKUP(D500,[1]apoio_Preços_MGS!$A$6:$AN$238,22,FALSE)</f>
        <v>0</v>
      </c>
      <c r="R500" s="40">
        <f>VLOOKUP(D500,[1]apoio_Preços_MGS!$A$6:$AN$238,23,FALSE)</f>
        <v>0</v>
      </c>
      <c r="S500" s="40">
        <f>VLOOKUP(D500,[1]apoio_Preços_MGS!$A$6:$AN$238,24,FALSE)</f>
        <v>0</v>
      </c>
      <c r="T500" s="40">
        <f>VLOOKUP(D500,[1]apoio_Preços_MGS!$A$6:$AN$238,25,FALSE)</f>
        <v>0</v>
      </c>
      <c r="U500" s="40">
        <f t="shared" si="247"/>
        <v>2142.7371104179406</v>
      </c>
      <c r="V500" s="41">
        <v>0.81799999999999995</v>
      </c>
      <c r="W500" s="40">
        <f t="shared" si="248"/>
        <v>1752.7589563218753</v>
      </c>
      <c r="X500" s="40">
        <f>VLOOKUP(D500,[1]apoio_Preços_MGS!$A$6:$AN$238,29,FALSE)</f>
        <v>52.672499999999992</v>
      </c>
      <c r="Y500" s="40">
        <f>VLOOKUP(D500,[1]apoio_Preços_MGS!$A$6:$AN$238,30,FALSE)</f>
        <v>1.721363914713578</v>
      </c>
      <c r="Z500" s="40">
        <f t="shared" si="239"/>
        <v>54.39386391471357</v>
      </c>
      <c r="AA500" s="40">
        <f>VLOOKUP(D500,[1]apoio_Preços_MGS!$A$6:$AN$238,32,FALSE)</f>
        <v>4.1140552520024452</v>
      </c>
      <c r="AB500" s="40">
        <f>VLOOKUP(D500,[1]apoio_Preços_MGS!$A$6:$AN$238,33,FALSE)</f>
        <v>121.58518892992969</v>
      </c>
      <c r="AC500" s="41">
        <f>VLOOKUP(D500,[1]apoio_Preços_MGS!$A$6:$AN$238,34,FALSE)</f>
        <v>3.403517673411495E-2</v>
      </c>
      <c r="AD500" s="40">
        <f>(U500+W500+Z500+AB500+AA500+VLOOKUP(C500,[1]apoio_Prec_Folha!$A:$S,7,FALSE))*AC500</f>
        <v>157.32812022993051</v>
      </c>
      <c r="AE500" s="42">
        <f>VLOOKUP(D500,[1]apoio_Preços_MGS!$A$6:$AN$238,36,FALSE)</f>
        <v>7.0000000000000007E-2</v>
      </c>
      <c r="AF500" s="40">
        <f>(U500+W500+Z500+AB500+AD500+AA500+VLOOKUP(C500,[1]apoio_Prec_Folha!$A:$S,7,FALSE))*AE500</f>
        <v>334.58902921134751</v>
      </c>
      <c r="AG500" s="40">
        <f t="shared" si="240"/>
        <v>4567.5</v>
      </c>
      <c r="AH500" s="43">
        <f t="shared" si="241"/>
        <v>5326.52</v>
      </c>
      <c r="AI500" s="43">
        <f t="shared" si="242"/>
        <v>85224.320000000007</v>
      </c>
      <c r="AJ500" s="43">
        <f t="shared" si="243"/>
        <v>5113459.2</v>
      </c>
      <c r="AK500" s="44">
        <f>VLOOKUP(D500,[1]apoio_Preços_MGS!$A$6:$AN$238,39,FALSE)</f>
        <v>181.81818181818184</v>
      </c>
      <c r="AL500" s="44">
        <f>IF(J500="demais municípios",VLOOKUP(D500,[1]apoio_Preços_MGS!$A$6:$AN$238,39,FALSE),0)</f>
        <v>181.81818181818184</v>
      </c>
      <c r="AM500" s="44">
        <v>0</v>
      </c>
      <c r="AN500" s="45">
        <f t="shared" si="263"/>
        <v>2909.0909090909095</v>
      </c>
      <c r="AO500" s="44">
        <f>VLOOKUP(D500,[1]apoio_Preços_MGS!$A$6:$AN$238,40,FALSE)</f>
        <v>546.91999999999996</v>
      </c>
      <c r="AP500" s="44">
        <f>IF(J500="demais municípios",VLOOKUP(D500,[1]apoio_Preços_MGS!$A$6:$AN$238,40,FALSE),0)</f>
        <v>546.91999999999996</v>
      </c>
      <c r="AQ500" s="44">
        <v>0</v>
      </c>
      <c r="AR500" s="45">
        <f t="shared" si="264"/>
        <v>8750.7199999999993</v>
      </c>
      <c r="AS500" s="45">
        <f t="shared" si="255"/>
        <v>11659.810909090909</v>
      </c>
      <c r="AT500" s="45">
        <f t="shared" si="256"/>
        <v>699588.65454545454</v>
      </c>
      <c r="AU500" s="62"/>
      <c r="AV500" s="46"/>
      <c r="AW500" s="47"/>
      <c r="AX500" s="48"/>
      <c r="AY500" s="49"/>
      <c r="BA500" s="48"/>
    </row>
    <row r="501" spans="1:53" ht="19.5" customHeight="1" x14ac:dyDescent="0.25">
      <c r="A501" s="33" t="str">
        <f t="shared" si="253"/>
        <v>63525440,02</v>
      </c>
      <c r="B501" s="33" t="str">
        <f t="shared" si="254"/>
        <v>1640,02</v>
      </c>
      <c r="C501" s="34" t="str">
        <f>VLOOKUP(D501,[1]apoio_Preços_MGS!$A$6:$B$238,2,FALSE)</f>
        <v>PORTEIRO</v>
      </c>
      <c r="D501" s="35">
        <v>164</v>
      </c>
      <c r="E501" s="33" t="str">
        <f>VLOOKUP(D501,[1]apoio_Preços_MGS!$A$6:$F$238,6,FALSE)</f>
        <v>PORTEIRO - DIARISTA DIURNO - 44H</v>
      </c>
      <c r="F501" s="36">
        <f>IFERROR(VLOOKUP(D501,'[1]apoio_cód catmas'!$B$2:$C$863,2,FALSE),0)</f>
        <v>63525</v>
      </c>
      <c r="G501" s="33" t="str">
        <f>IF(H501="N/A",VLOOKUP(F501&amp;40,'[1]apoio_cód catmas'!$A$1:$G$233,4,FALSE),VLOOKUP(F501&amp;H501,'[1]apoio_cód catmas'!$A$1:$G$233,4,FALSE))</f>
        <v>PORTEIRO - 30H, 40H OU 44H</v>
      </c>
      <c r="H501" s="36">
        <v>44</v>
      </c>
      <c r="I501" s="37">
        <v>0.02</v>
      </c>
      <c r="J501" s="38" t="s">
        <v>46</v>
      </c>
      <c r="K501" s="39">
        <v>28</v>
      </c>
      <c r="L501" s="39">
        <f t="shared" si="238"/>
        <v>1680</v>
      </c>
      <c r="M501" s="40">
        <f>VLOOKUP(D501,[1]apoio_Preços_MGS!$A$6:$AN$238,18,FALSE)</f>
        <v>2357.0108214597344</v>
      </c>
      <c r="N501" s="40">
        <f>VLOOKUP(D501,[1]apoio_Preços_MGS!$A$6:$AN$238,19,FALSE)</f>
        <v>0</v>
      </c>
      <c r="O501" s="40">
        <f>VLOOKUP(D501,[1]apoio_Preços_MGS!$A$6:$AN$238,20,FALSE)</f>
        <v>0</v>
      </c>
      <c r="P501" s="40">
        <f>VLOOKUP(D501,[1]apoio_Preços_MGS!$A$6:$AN$238,21,FALSE)</f>
        <v>0</v>
      </c>
      <c r="Q501" s="40">
        <f>VLOOKUP(D501,[1]apoio_Preços_MGS!$A$6:$AN$238,22,FALSE)</f>
        <v>0</v>
      </c>
      <c r="R501" s="40">
        <f>VLOOKUP(D501,[1]apoio_Preços_MGS!$A$6:$AN$238,23,FALSE)</f>
        <v>0</v>
      </c>
      <c r="S501" s="40">
        <f>VLOOKUP(D501,[1]apoio_Preços_MGS!$A$6:$AN$238,24,FALSE)</f>
        <v>0</v>
      </c>
      <c r="T501" s="40">
        <f>VLOOKUP(D501,[1]apoio_Preços_MGS!$A$6:$AN$238,25,FALSE)</f>
        <v>0</v>
      </c>
      <c r="U501" s="40">
        <f t="shared" si="247"/>
        <v>2357.0108214597344</v>
      </c>
      <c r="V501" s="41">
        <v>0.81799999999999995</v>
      </c>
      <c r="W501" s="40">
        <f t="shared" si="248"/>
        <v>1928.0348519540626</v>
      </c>
      <c r="X501" s="40">
        <f>VLOOKUP(D501,[1]apoio_Preços_MGS!$A$6:$AN$238,29,FALSE)</f>
        <v>52.672499999999992</v>
      </c>
      <c r="Y501" s="40">
        <f>VLOOKUP(D501,[1]apoio_Preços_MGS!$A$6:$AN$238,30,FALSE)</f>
        <v>1.721363914713578</v>
      </c>
      <c r="Z501" s="40">
        <f t="shared" si="239"/>
        <v>54.39386391471357</v>
      </c>
      <c r="AA501" s="40">
        <f>VLOOKUP(D501,[1]apoio_Preços_MGS!$A$6:$AN$238,32,FALSE)</f>
        <v>4.5254607772026896</v>
      </c>
      <c r="AB501" s="40">
        <f>VLOOKUP(D501,[1]apoio_Preços_MGS!$A$6:$AN$238,33,FALSE)</f>
        <v>114.60128756822279</v>
      </c>
      <c r="AC501" s="41">
        <f>VLOOKUP(D501,[1]apoio_Preços_MGS!$A$6:$AN$238,34,FALSE)</f>
        <v>3.403517673411495E-2</v>
      </c>
      <c r="AD501" s="40">
        <f>(U501+W501+Z501+AB501+AA501+VLOOKUP(C501,[1]apoio_Prec_Folha!$A:$S,7,FALSE))*AC501</f>
        <v>170.36281388240471</v>
      </c>
      <c r="AE501" s="42">
        <f>VLOOKUP(D501,[1]apoio_Preços_MGS!$A$6:$AN$238,36,FALSE)</f>
        <v>7.0000000000000007E-2</v>
      </c>
      <c r="AF501" s="40">
        <f>(U501+W501+Z501+AB501+AD501+AA501+VLOOKUP(C501,[1]apoio_Prec_Folha!$A:$S,7,FALSE))*AE501</f>
        <v>362.30985552564397</v>
      </c>
      <c r="AG501" s="40">
        <f t="shared" si="240"/>
        <v>4991.2299999999996</v>
      </c>
      <c r="AH501" s="43">
        <f t="shared" si="241"/>
        <v>5623.91</v>
      </c>
      <c r="AI501" s="43">
        <f t="shared" si="242"/>
        <v>157469.47999999998</v>
      </c>
      <c r="AJ501" s="43">
        <f t="shared" si="243"/>
        <v>9448168.7999999989</v>
      </c>
      <c r="AK501" s="44">
        <f>VLOOKUP(D501,[1]apoio_Preços_MGS!$A$6:$AN$238,39,FALSE)</f>
        <v>200.00000000000003</v>
      </c>
      <c r="AL501" s="44">
        <f>IF(J501="demais municípios",VLOOKUP(D501,[1]apoio_Preços_MGS!$A$6:$AN$238,39,FALSE),0)</f>
        <v>200.00000000000003</v>
      </c>
      <c r="AM501" s="44">
        <v>0</v>
      </c>
      <c r="AN501" s="45">
        <f t="shared" si="263"/>
        <v>5600.0000000000009</v>
      </c>
      <c r="AO501" s="44">
        <f>VLOOKUP(D501,[1]apoio_Preços_MGS!$A$6:$AN$238,40,FALSE)</f>
        <v>546.91999999999996</v>
      </c>
      <c r="AP501" s="44">
        <f>IF(J501="demais municípios",VLOOKUP(D501,[1]apoio_Preços_MGS!$A$6:$AN$238,40,FALSE),0)</f>
        <v>546.91999999999996</v>
      </c>
      <c r="AQ501" s="44">
        <v>0</v>
      </c>
      <c r="AR501" s="45">
        <f t="shared" si="264"/>
        <v>15313.759999999998</v>
      </c>
      <c r="AS501" s="45">
        <f t="shared" si="255"/>
        <v>20913.759999999998</v>
      </c>
      <c r="AT501" s="45">
        <f t="shared" si="256"/>
        <v>1254825.5999999999</v>
      </c>
      <c r="AU501" s="62"/>
      <c r="AV501" s="46"/>
      <c r="AW501" s="47"/>
      <c r="AX501" s="48"/>
      <c r="AY501" s="49"/>
      <c r="BA501" s="48"/>
    </row>
    <row r="502" spans="1:53" ht="19.5" customHeight="1" x14ac:dyDescent="0.25">
      <c r="A502" s="33" t="str">
        <f t="shared" si="253"/>
        <v>63525440,025</v>
      </c>
      <c r="B502" s="33" t="str">
        <f t="shared" si="254"/>
        <v>1640,025</v>
      </c>
      <c r="C502" s="34" t="str">
        <f>VLOOKUP(D502,[1]apoio_Preços_MGS!$A$6:$B$238,2,FALSE)</f>
        <v>PORTEIRO</v>
      </c>
      <c r="D502" s="35">
        <v>164</v>
      </c>
      <c r="E502" s="33" t="str">
        <f>VLOOKUP(D502,[1]apoio_Preços_MGS!$A$6:$F$238,6,FALSE)</f>
        <v>PORTEIRO - DIARISTA DIURNO - 44H</v>
      </c>
      <c r="F502" s="36">
        <f>IFERROR(VLOOKUP(D502,'[1]apoio_cód catmas'!$B$2:$C$863,2,FALSE),0)</f>
        <v>63525</v>
      </c>
      <c r="G502" s="33" t="str">
        <f>IF(H502="N/A",VLOOKUP(F502&amp;40,'[1]apoio_cód catmas'!$A$1:$G$233,4,FALSE),VLOOKUP(F502&amp;H502,'[1]apoio_cód catmas'!$A$1:$G$233,4,FALSE))</f>
        <v>PORTEIRO - 30H, 40H OU 44H</v>
      </c>
      <c r="H502" s="36">
        <v>44</v>
      </c>
      <c r="I502" s="37">
        <v>2.5000000000000001E-2</v>
      </c>
      <c r="J502" s="38" t="s">
        <v>46</v>
      </c>
      <c r="K502" s="39">
        <v>2</v>
      </c>
      <c r="L502" s="39">
        <f t="shared" si="238"/>
        <v>120</v>
      </c>
      <c r="M502" s="40">
        <f>VLOOKUP(D502,[1]apoio_Preços_MGS!$A$6:$AN$238,18,FALSE)</f>
        <v>2357.0108214597344</v>
      </c>
      <c r="N502" s="40">
        <f>VLOOKUP(D502,[1]apoio_Preços_MGS!$A$6:$AN$238,19,FALSE)</f>
        <v>0</v>
      </c>
      <c r="O502" s="40">
        <f>VLOOKUP(D502,[1]apoio_Preços_MGS!$A$6:$AN$238,20,FALSE)</f>
        <v>0</v>
      </c>
      <c r="P502" s="40">
        <f>VLOOKUP(D502,[1]apoio_Preços_MGS!$A$6:$AN$238,21,FALSE)</f>
        <v>0</v>
      </c>
      <c r="Q502" s="40">
        <f>VLOOKUP(D502,[1]apoio_Preços_MGS!$A$6:$AN$238,22,FALSE)</f>
        <v>0</v>
      </c>
      <c r="R502" s="40">
        <f>VLOOKUP(D502,[1]apoio_Preços_MGS!$A$6:$AN$238,23,FALSE)</f>
        <v>0</v>
      </c>
      <c r="S502" s="40">
        <f>VLOOKUP(D502,[1]apoio_Preços_MGS!$A$6:$AN$238,24,FALSE)</f>
        <v>0</v>
      </c>
      <c r="T502" s="40">
        <f>VLOOKUP(D502,[1]apoio_Preços_MGS!$A$6:$AN$238,25,FALSE)</f>
        <v>0</v>
      </c>
      <c r="U502" s="40">
        <f t="shared" si="247"/>
        <v>2357.0108214597344</v>
      </c>
      <c r="V502" s="41">
        <v>0.81799999999999995</v>
      </c>
      <c r="W502" s="40">
        <f t="shared" si="248"/>
        <v>1928.0348519540626</v>
      </c>
      <c r="X502" s="40">
        <f>VLOOKUP(D502,[1]apoio_Preços_MGS!$A$6:$AN$238,29,FALSE)</f>
        <v>52.672499999999992</v>
      </c>
      <c r="Y502" s="40">
        <f>VLOOKUP(D502,[1]apoio_Preços_MGS!$A$6:$AN$238,30,FALSE)</f>
        <v>1.721363914713578</v>
      </c>
      <c r="Z502" s="40">
        <f t="shared" si="239"/>
        <v>54.39386391471357</v>
      </c>
      <c r="AA502" s="40">
        <f>VLOOKUP(D502,[1]apoio_Preços_MGS!$A$6:$AN$238,32,FALSE)</f>
        <v>4.5254607772026896</v>
      </c>
      <c r="AB502" s="40">
        <f>VLOOKUP(D502,[1]apoio_Preços_MGS!$A$6:$AN$238,33,FALSE)</f>
        <v>114.60128756822279</v>
      </c>
      <c r="AC502" s="41">
        <f>VLOOKUP(D502,[1]apoio_Preços_MGS!$A$6:$AN$238,34,FALSE)</f>
        <v>3.403517673411495E-2</v>
      </c>
      <c r="AD502" s="40">
        <f>(U502+W502+Z502+AB502+AA502+VLOOKUP(C502,[1]apoio_Prec_Folha!$A:$S,7,FALSE))*AC502</f>
        <v>170.36281388240471</v>
      </c>
      <c r="AE502" s="42">
        <f>VLOOKUP(D502,[1]apoio_Preços_MGS!$A$6:$AN$238,36,FALSE)</f>
        <v>7.0000000000000007E-2</v>
      </c>
      <c r="AF502" s="40">
        <f>(U502+W502+Z502+AB502+AD502+AA502+VLOOKUP(C502,[1]apoio_Prec_Folha!$A:$S,7,FALSE))*AE502</f>
        <v>362.30985552564397</v>
      </c>
      <c r="AG502" s="40">
        <f t="shared" si="240"/>
        <v>4991.2299999999996</v>
      </c>
      <c r="AH502" s="43">
        <f t="shared" si="241"/>
        <v>5655.76</v>
      </c>
      <c r="AI502" s="43">
        <f t="shared" si="242"/>
        <v>11311.52</v>
      </c>
      <c r="AJ502" s="43">
        <f t="shared" si="243"/>
        <v>678691.20000000007</v>
      </c>
      <c r="AK502" s="44">
        <f>VLOOKUP(D502,[1]apoio_Preços_MGS!$A$6:$AN$238,39,FALSE)</f>
        <v>200.00000000000003</v>
      </c>
      <c r="AL502" s="44">
        <f>IF(J502="demais municípios",VLOOKUP(D502,[1]apoio_Preços_MGS!$A$6:$AN$238,39,FALSE),0)</f>
        <v>200.00000000000003</v>
      </c>
      <c r="AM502" s="44">
        <v>0</v>
      </c>
      <c r="AN502" s="45">
        <f t="shared" si="263"/>
        <v>400.00000000000006</v>
      </c>
      <c r="AO502" s="44">
        <f>VLOOKUP(D502,[1]apoio_Preços_MGS!$A$6:$AN$238,40,FALSE)</f>
        <v>546.91999999999996</v>
      </c>
      <c r="AP502" s="44">
        <f>IF(J502="demais municípios",VLOOKUP(D502,[1]apoio_Preços_MGS!$A$6:$AN$238,40,FALSE),0)</f>
        <v>546.91999999999996</v>
      </c>
      <c r="AQ502" s="44">
        <v>0</v>
      </c>
      <c r="AR502" s="45">
        <f t="shared" si="264"/>
        <v>1093.8399999999999</v>
      </c>
      <c r="AS502" s="45">
        <f t="shared" si="255"/>
        <v>1493.84</v>
      </c>
      <c r="AT502" s="45">
        <f t="shared" si="256"/>
        <v>89630.399999999994</v>
      </c>
      <c r="AU502" s="62"/>
      <c r="AV502" s="46"/>
      <c r="AW502" s="47"/>
      <c r="AX502" s="48"/>
      <c r="AY502" s="49"/>
      <c r="BA502" s="48"/>
    </row>
    <row r="503" spans="1:53" ht="19.5" customHeight="1" x14ac:dyDescent="0.25">
      <c r="A503" s="33" t="str">
        <f t="shared" si="253"/>
        <v>63525440,03</v>
      </c>
      <c r="B503" s="33" t="str">
        <f t="shared" si="254"/>
        <v>1640,03</v>
      </c>
      <c r="C503" s="34" t="str">
        <f>VLOOKUP(D503,[1]apoio_Preços_MGS!$A$6:$B$238,2,FALSE)</f>
        <v>PORTEIRO</v>
      </c>
      <c r="D503" s="35">
        <v>164</v>
      </c>
      <c r="E503" s="33" t="str">
        <f>VLOOKUP(D503,[1]apoio_Preços_MGS!$A$6:$F$238,6,FALSE)</f>
        <v>PORTEIRO - DIARISTA DIURNO - 44H</v>
      </c>
      <c r="F503" s="36">
        <f>IFERROR(VLOOKUP(D503,'[1]apoio_cód catmas'!$B$2:$C$863,2,FALSE),0)</f>
        <v>63525</v>
      </c>
      <c r="G503" s="33" t="str">
        <f>IF(H503="N/A",VLOOKUP(F503&amp;40,'[1]apoio_cód catmas'!$A$1:$G$233,4,FALSE),VLOOKUP(F503&amp;H503,'[1]apoio_cód catmas'!$A$1:$G$233,4,FALSE))</f>
        <v>PORTEIRO - 30H, 40H OU 44H</v>
      </c>
      <c r="H503" s="36">
        <v>44</v>
      </c>
      <c r="I503" s="37">
        <v>0.03</v>
      </c>
      <c r="J503" s="38" t="s">
        <v>46</v>
      </c>
      <c r="K503" s="39">
        <f>17-2</f>
        <v>15</v>
      </c>
      <c r="L503" s="39">
        <f t="shared" si="238"/>
        <v>900</v>
      </c>
      <c r="M503" s="40">
        <f>VLOOKUP(D503,[1]apoio_Preços_MGS!$A$6:$AN$238,18,FALSE)</f>
        <v>2357.0108214597344</v>
      </c>
      <c r="N503" s="40">
        <f>VLOOKUP(D503,[1]apoio_Preços_MGS!$A$6:$AN$238,19,FALSE)</f>
        <v>0</v>
      </c>
      <c r="O503" s="40">
        <f>VLOOKUP(D503,[1]apoio_Preços_MGS!$A$6:$AN$238,20,FALSE)</f>
        <v>0</v>
      </c>
      <c r="P503" s="40">
        <f>VLOOKUP(D503,[1]apoio_Preços_MGS!$A$6:$AN$238,21,FALSE)</f>
        <v>0</v>
      </c>
      <c r="Q503" s="40">
        <f>VLOOKUP(D503,[1]apoio_Preços_MGS!$A$6:$AN$238,22,FALSE)</f>
        <v>0</v>
      </c>
      <c r="R503" s="40">
        <f>VLOOKUP(D503,[1]apoio_Preços_MGS!$A$6:$AN$238,23,FALSE)</f>
        <v>0</v>
      </c>
      <c r="S503" s="40">
        <f>VLOOKUP(D503,[1]apoio_Preços_MGS!$A$6:$AN$238,24,FALSE)</f>
        <v>0</v>
      </c>
      <c r="T503" s="40">
        <f>VLOOKUP(D503,[1]apoio_Preços_MGS!$A$6:$AN$238,25,FALSE)</f>
        <v>0</v>
      </c>
      <c r="U503" s="40">
        <f t="shared" si="247"/>
        <v>2357.0108214597344</v>
      </c>
      <c r="V503" s="41">
        <v>0.81799999999999995</v>
      </c>
      <c r="W503" s="40">
        <f t="shared" si="248"/>
        <v>1928.0348519540626</v>
      </c>
      <c r="X503" s="40">
        <f>VLOOKUP(D503,[1]apoio_Preços_MGS!$A$6:$AN$238,29,FALSE)</f>
        <v>52.672499999999992</v>
      </c>
      <c r="Y503" s="40">
        <f>VLOOKUP(D503,[1]apoio_Preços_MGS!$A$6:$AN$238,30,FALSE)</f>
        <v>1.721363914713578</v>
      </c>
      <c r="Z503" s="40">
        <f t="shared" si="239"/>
        <v>54.39386391471357</v>
      </c>
      <c r="AA503" s="40">
        <f>VLOOKUP(D503,[1]apoio_Preços_MGS!$A$6:$AN$238,32,FALSE)</f>
        <v>4.5254607772026896</v>
      </c>
      <c r="AB503" s="40">
        <f>VLOOKUP(D503,[1]apoio_Preços_MGS!$A$6:$AN$238,33,FALSE)</f>
        <v>114.60128756822279</v>
      </c>
      <c r="AC503" s="41">
        <f>VLOOKUP(D503,[1]apoio_Preços_MGS!$A$6:$AN$238,34,FALSE)</f>
        <v>3.403517673411495E-2</v>
      </c>
      <c r="AD503" s="40">
        <f>(U503+W503+Z503+AB503+AA503+VLOOKUP(C503,[1]apoio_Prec_Folha!$A:$S,7,FALSE))*AC503</f>
        <v>170.36281388240471</v>
      </c>
      <c r="AE503" s="42">
        <f>VLOOKUP(D503,[1]apoio_Preços_MGS!$A$6:$AN$238,36,FALSE)</f>
        <v>7.0000000000000007E-2</v>
      </c>
      <c r="AF503" s="40">
        <f>(U503+W503+Z503+AB503+AD503+AA503+VLOOKUP(C503,[1]apoio_Prec_Folha!$A:$S,7,FALSE))*AE503</f>
        <v>362.30985552564397</v>
      </c>
      <c r="AG503" s="40">
        <f t="shared" si="240"/>
        <v>4991.2299999999996</v>
      </c>
      <c r="AH503" s="43">
        <f t="shared" si="241"/>
        <v>5688</v>
      </c>
      <c r="AI503" s="43">
        <f t="shared" si="242"/>
        <v>85320</v>
      </c>
      <c r="AJ503" s="43">
        <f t="shared" si="243"/>
        <v>5119200</v>
      </c>
      <c r="AK503" s="44">
        <f>VLOOKUP(D503,[1]apoio_Preços_MGS!$A$6:$AN$238,39,FALSE)</f>
        <v>200.00000000000003</v>
      </c>
      <c r="AL503" s="44">
        <f>IF(J503="demais municípios",VLOOKUP(D503,[1]apoio_Preços_MGS!$A$6:$AN$238,39,FALSE),0)</f>
        <v>200.00000000000003</v>
      </c>
      <c r="AM503" s="44">
        <v>0</v>
      </c>
      <c r="AN503" s="45">
        <f t="shared" si="263"/>
        <v>3000.0000000000005</v>
      </c>
      <c r="AO503" s="44">
        <f>VLOOKUP(D503,[1]apoio_Preços_MGS!$A$6:$AN$238,40,FALSE)</f>
        <v>546.91999999999996</v>
      </c>
      <c r="AP503" s="44">
        <f>IF(J503="demais municípios",VLOOKUP(D503,[1]apoio_Preços_MGS!$A$6:$AN$238,40,FALSE),0)</f>
        <v>546.91999999999996</v>
      </c>
      <c r="AQ503" s="44">
        <v>0</v>
      </c>
      <c r="AR503" s="45">
        <f t="shared" si="264"/>
        <v>8203.7999999999993</v>
      </c>
      <c r="AS503" s="45">
        <f t="shared" si="255"/>
        <v>11203.8</v>
      </c>
      <c r="AT503" s="45">
        <f t="shared" si="256"/>
        <v>672228</v>
      </c>
      <c r="AU503" s="62"/>
      <c r="AV503" s="46"/>
      <c r="AW503" s="47"/>
      <c r="AX503" s="48"/>
      <c r="AY503" s="49"/>
      <c r="BA503" s="48"/>
    </row>
    <row r="504" spans="1:53" ht="19.5" customHeight="1" x14ac:dyDescent="0.25">
      <c r="A504" s="33" t="str">
        <f t="shared" si="253"/>
        <v>63525440,035</v>
      </c>
      <c r="B504" s="33" t="str">
        <f t="shared" si="254"/>
        <v>1640,035</v>
      </c>
      <c r="C504" s="34" t="str">
        <f>VLOOKUP(D504,[1]apoio_Preços_MGS!$A$6:$B$238,2,FALSE)</f>
        <v>PORTEIRO</v>
      </c>
      <c r="D504" s="35">
        <v>164</v>
      </c>
      <c r="E504" s="33" t="str">
        <f>VLOOKUP(D504,[1]apoio_Preços_MGS!$A$6:$F$238,6,FALSE)</f>
        <v>PORTEIRO - DIARISTA DIURNO - 44H</v>
      </c>
      <c r="F504" s="36">
        <f>IFERROR(VLOOKUP(D504,'[1]apoio_cód catmas'!$B$2:$C$863,2,FALSE),0)</f>
        <v>63525</v>
      </c>
      <c r="G504" s="33" t="str">
        <f>IF(H504="N/A",VLOOKUP(F504&amp;40,'[1]apoio_cód catmas'!$A$1:$G$233,4,FALSE),VLOOKUP(F504&amp;H504,'[1]apoio_cód catmas'!$A$1:$G$233,4,FALSE))</f>
        <v>PORTEIRO - 30H, 40H OU 44H</v>
      </c>
      <c r="H504" s="36">
        <v>44</v>
      </c>
      <c r="I504" s="37">
        <v>3.5000000000000003E-2</v>
      </c>
      <c r="J504" s="38" t="s">
        <v>46</v>
      </c>
      <c r="K504" s="39">
        <v>10</v>
      </c>
      <c r="L504" s="39">
        <f t="shared" si="238"/>
        <v>600</v>
      </c>
      <c r="M504" s="40">
        <f>VLOOKUP(D504,[1]apoio_Preços_MGS!$A$6:$AN$238,18,FALSE)</f>
        <v>2357.0108214597344</v>
      </c>
      <c r="N504" s="40">
        <f>VLOOKUP(D504,[1]apoio_Preços_MGS!$A$6:$AN$238,19,FALSE)</f>
        <v>0</v>
      </c>
      <c r="O504" s="40">
        <f>VLOOKUP(D504,[1]apoio_Preços_MGS!$A$6:$AN$238,20,FALSE)</f>
        <v>0</v>
      </c>
      <c r="P504" s="40">
        <f>VLOOKUP(D504,[1]apoio_Preços_MGS!$A$6:$AN$238,21,FALSE)</f>
        <v>0</v>
      </c>
      <c r="Q504" s="40">
        <f>VLOOKUP(D504,[1]apoio_Preços_MGS!$A$6:$AN$238,22,FALSE)</f>
        <v>0</v>
      </c>
      <c r="R504" s="40">
        <f>VLOOKUP(D504,[1]apoio_Preços_MGS!$A$6:$AN$238,23,FALSE)</f>
        <v>0</v>
      </c>
      <c r="S504" s="40">
        <f>VLOOKUP(D504,[1]apoio_Preços_MGS!$A$6:$AN$238,24,FALSE)</f>
        <v>0</v>
      </c>
      <c r="T504" s="40">
        <f>VLOOKUP(D504,[1]apoio_Preços_MGS!$A$6:$AN$238,25,FALSE)</f>
        <v>0</v>
      </c>
      <c r="U504" s="40">
        <f t="shared" si="247"/>
        <v>2357.0108214597344</v>
      </c>
      <c r="V504" s="41">
        <v>0.81799999999999995</v>
      </c>
      <c r="W504" s="40">
        <f t="shared" si="248"/>
        <v>1928.0348519540626</v>
      </c>
      <c r="X504" s="40">
        <f>VLOOKUP(D504,[1]apoio_Preços_MGS!$A$6:$AN$238,29,FALSE)</f>
        <v>52.672499999999992</v>
      </c>
      <c r="Y504" s="40">
        <f>VLOOKUP(D504,[1]apoio_Preços_MGS!$A$6:$AN$238,30,FALSE)</f>
        <v>1.721363914713578</v>
      </c>
      <c r="Z504" s="40">
        <f t="shared" si="239"/>
        <v>54.39386391471357</v>
      </c>
      <c r="AA504" s="40">
        <f>VLOOKUP(D504,[1]apoio_Preços_MGS!$A$6:$AN$238,32,FALSE)</f>
        <v>4.5254607772026896</v>
      </c>
      <c r="AB504" s="40">
        <f>VLOOKUP(D504,[1]apoio_Preços_MGS!$A$6:$AN$238,33,FALSE)</f>
        <v>114.60128756822279</v>
      </c>
      <c r="AC504" s="41">
        <f>VLOOKUP(D504,[1]apoio_Preços_MGS!$A$6:$AN$238,34,FALSE)</f>
        <v>3.403517673411495E-2</v>
      </c>
      <c r="AD504" s="40">
        <f>(U504+W504+Z504+AB504+AA504+VLOOKUP(C504,[1]apoio_Prec_Folha!$A:$S,7,FALSE))*AC504</f>
        <v>170.36281388240471</v>
      </c>
      <c r="AE504" s="42">
        <f>VLOOKUP(D504,[1]apoio_Preços_MGS!$A$6:$AN$238,36,FALSE)</f>
        <v>7.0000000000000007E-2</v>
      </c>
      <c r="AF504" s="40">
        <f>(U504+W504+Z504+AB504+AD504+AA504+VLOOKUP(C504,[1]apoio_Prec_Folha!$A:$S,7,FALSE))*AE504</f>
        <v>362.30985552564397</v>
      </c>
      <c r="AG504" s="40">
        <f t="shared" si="240"/>
        <v>4991.2299999999996</v>
      </c>
      <c r="AH504" s="43">
        <f t="shared" si="241"/>
        <v>5720.59</v>
      </c>
      <c r="AI504" s="43">
        <f t="shared" si="242"/>
        <v>57205.9</v>
      </c>
      <c r="AJ504" s="43">
        <f t="shared" si="243"/>
        <v>3432354</v>
      </c>
      <c r="AK504" s="44">
        <f>VLOOKUP(D504,[1]apoio_Preços_MGS!$A$6:$AN$238,39,FALSE)</f>
        <v>200.00000000000003</v>
      </c>
      <c r="AL504" s="44">
        <f>IF(J504="demais municípios",VLOOKUP(D504,[1]apoio_Preços_MGS!$A$6:$AN$238,39,FALSE),0)</f>
        <v>200.00000000000003</v>
      </c>
      <c r="AM504" s="44">
        <v>0</v>
      </c>
      <c r="AN504" s="45">
        <f t="shared" si="263"/>
        <v>2000.0000000000002</v>
      </c>
      <c r="AO504" s="44">
        <f>VLOOKUP(D504,[1]apoio_Preços_MGS!$A$6:$AN$238,40,FALSE)</f>
        <v>546.91999999999996</v>
      </c>
      <c r="AP504" s="44">
        <f>IF(J504="demais municípios",VLOOKUP(D504,[1]apoio_Preços_MGS!$A$6:$AN$238,40,FALSE),0)</f>
        <v>546.91999999999996</v>
      </c>
      <c r="AQ504" s="44">
        <v>0</v>
      </c>
      <c r="AR504" s="45">
        <f t="shared" si="264"/>
        <v>5469.2</v>
      </c>
      <c r="AS504" s="45">
        <f t="shared" si="255"/>
        <v>7469.2</v>
      </c>
      <c r="AT504" s="45">
        <f t="shared" si="256"/>
        <v>448152</v>
      </c>
      <c r="AU504" s="62"/>
      <c r="AV504" s="46"/>
      <c r="AW504" s="47"/>
      <c r="AX504" s="48"/>
      <c r="AY504" s="49"/>
      <c r="BA504" s="48"/>
    </row>
    <row r="505" spans="1:53" ht="19.5" customHeight="1" x14ac:dyDescent="0.25">
      <c r="A505" s="33" t="str">
        <f t="shared" si="253"/>
        <v>63525440,04</v>
      </c>
      <c r="B505" s="33" t="str">
        <f t="shared" si="254"/>
        <v>1640,04</v>
      </c>
      <c r="C505" s="34" t="str">
        <f>VLOOKUP(D505,[1]apoio_Preços_MGS!$A$6:$B$238,2,FALSE)</f>
        <v>PORTEIRO</v>
      </c>
      <c r="D505" s="35">
        <v>164</v>
      </c>
      <c r="E505" s="33" t="str">
        <f>VLOOKUP(D505,[1]apoio_Preços_MGS!$A$6:$F$238,6,FALSE)</f>
        <v>PORTEIRO - DIARISTA DIURNO - 44H</v>
      </c>
      <c r="F505" s="36">
        <f>IFERROR(VLOOKUP(D505,'[1]apoio_cód catmas'!$B$2:$C$863,2,FALSE),0)</f>
        <v>63525</v>
      </c>
      <c r="G505" s="33" t="str">
        <f>IF(H505="N/A",VLOOKUP(F505&amp;40,'[1]apoio_cód catmas'!$A$1:$G$233,4,FALSE),VLOOKUP(F505&amp;H505,'[1]apoio_cód catmas'!$A$1:$G$233,4,FALSE))</f>
        <v>PORTEIRO - 30H, 40H OU 44H</v>
      </c>
      <c r="H505" s="36">
        <v>44</v>
      </c>
      <c r="I505" s="37">
        <v>0.04</v>
      </c>
      <c r="J505" s="38" t="s">
        <v>46</v>
      </c>
      <c r="K505" s="39">
        <v>2</v>
      </c>
      <c r="L505" s="39">
        <f t="shared" si="238"/>
        <v>120</v>
      </c>
      <c r="M505" s="40">
        <f>VLOOKUP(D505,[1]apoio_Preços_MGS!$A$6:$AN$238,18,FALSE)</f>
        <v>2357.0108214597344</v>
      </c>
      <c r="N505" s="40">
        <f>VLOOKUP(D505,[1]apoio_Preços_MGS!$A$6:$AN$238,19,FALSE)</f>
        <v>0</v>
      </c>
      <c r="O505" s="40">
        <f>VLOOKUP(D505,[1]apoio_Preços_MGS!$A$6:$AN$238,20,FALSE)</f>
        <v>0</v>
      </c>
      <c r="P505" s="40">
        <f>VLOOKUP(D505,[1]apoio_Preços_MGS!$A$6:$AN$238,21,FALSE)</f>
        <v>0</v>
      </c>
      <c r="Q505" s="40">
        <f>VLOOKUP(D505,[1]apoio_Preços_MGS!$A$6:$AN$238,22,FALSE)</f>
        <v>0</v>
      </c>
      <c r="R505" s="40">
        <f>VLOOKUP(D505,[1]apoio_Preços_MGS!$A$6:$AN$238,23,FALSE)</f>
        <v>0</v>
      </c>
      <c r="S505" s="40">
        <f>VLOOKUP(D505,[1]apoio_Preços_MGS!$A$6:$AN$238,24,FALSE)</f>
        <v>0</v>
      </c>
      <c r="T505" s="40">
        <f>VLOOKUP(D505,[1]apoio_Preços_MGS!$A$6:$AN$238,25,FALSE)</f>
        <v>0</v>
      </c>
      <c r="U505" s="40">
        <f t="shared" si="247"/>
        <v>2357.0108214597344</v>
      </c>
      <c r="V505" s="41">
        <v>0.81799999999999995</v>
      </c>
      <c r="W505" s="40">
        <f t="shared" si="248"/>
        <v>1928.0348519540626</v>
      </c>
      <c r="X505" s="40">
        <f>VLOOKUP(D505,[1]apoio_Preços_MGS!$A$6:$AN$238,29,FALSE)</f>
        <v>52.672499999999992</v>
      </c>
      <c r="Y505" s="40">
        <f>VLOOKUP(D505,[1]apoio_Preços_MGS!$A$6:$AN$238,30,FALSE)</f>
        <v>1.721363914713578</v>
      </c>
      <c r="Z505" s="40">
        <f t="shared" si="239"/>
        <v>54.39386391471357</v>
      </c>
      <c r="AA505" s="40">
        <f>VLOOKUP(D505,[1]apoio_Preços_MGS!$A$6:$AN$238,32,FALSE)</f>
        <v>4.5254607772026896</v>
      </c>
      <c r="AB505" s="40">
        <f>VLOOKUP(D505,[1]apoio_Preços_MGS!$A$6:$AN$238,33,FALSE)</f>
        <v>114.60128756822279</v>
      </c>
      <c r="AC505" s="41">
        <f>VLOOKUP(D505,[1]apoio_Preços_MGS!$A$6:$AN$238,34,FALSE)</f>
        <v>3.403517673411495E-2</v>
      </c>
      <c r="AD505" s="40">
        <f>(U505+W505+Z505+AB505+AA505+VLOOKUP(C505,[1]apoio_Prec_Folha!$A:$S,7,FALSE))*AC505</f>
        <v>170.36281388240471</v>
      </c>
      <c r="AE505" s="42">
        <f>VLOOKUP(D505,[1]apoio_Preços_MGS!$A$6:$AN$238,36,FALSE)</f>
        <v>7.0000000000000007E-2</v>
      </c>
      <c r="AF505" s="40">
        <f>(U505+W505+Z505+AB505+AD505+AA505+VLOOKUP(C505,[1]apoio_Prec_Folha!$A:$S,7,FALSE))*AE505</f>
        <v>362.30985552564397</v>
      </c>
      <c r="AG505" s="40">
        <f t="shared" si="240"/>
        <v>4991.2299999999996</v>
      </c>
      <c r="AH505" s="43">
        <f t="shared" si="241"/>
        <v>5753.59</v>
      </c>
      <c r="AI505" s="43">
        <f t="shared" si="242"/>
        <v>11507.18</v>
      </c>
      <c r="AJ505" s="43">
        <f t="shared" si="243"/>
        <v>690430.8</v>
      </c>
      <c r="AK505" s="44">
        <f>VLOOKUP(D505,[1]apoio_Preços_MGS!$A$6:$AN$238,39,FALSE)</f>
        <v>200.00000000000003</v>
      </c>
      <c r="AL505" s="44">
        <f>IF(J505="demais municípios",VLOOKUP(D505,[1]apoio_Preços_MGS!$A$6:$AN$238,39,FALSE),0)</f>
        <v>200.00000000000003</v>
      </c>
      <c r="AM505" s="44">
        <v>0</v>
      </c>
      <c r="AN505" s="45">
        <f t="shared" si="263"/>
        <v>400.00000000000006</v>
      </c>
      <c r="AO505" s="44">
        <f>VLOOKUP(D505,[1]apoio_Preços_MGS!$A$6:$AN$238,40,FALSE)</f>
        <v>546.91999999999996</v>
      </c>
      <c r="AP505" s="44">
        <f>IF(J505="demais municípios",VLOOKUP(D505,[1]apoio_Preços_MGS!$A$6:$AN$238,40,FALSE),0)</f>
        <v>546.91999999999996</v>
      </c>
      <c r="AQ505" s="44">
        <v>0</v>
      </c>
      <c r="AR505" s="45">
        <f t="shared" si="264"/>
        <v>1093.8399999999999</v>
      </c>
      <c r="AS505" s="45">
        <f t="shared" si="255"/>
        <v>1493.84</v>
      </c>
      <c r="AT505" s="45">
        <f t="shared" si="256"/>
        <v>89630.399999999994</v>
      </c>
      <c r="AU505" s="62"/>
      <c r="AV505" s="46"/>
      <c r="AW505" s="47"/>
      <c r="AX505" s="48"/>
      <c r="AY505" s="49"/>
      <c r="BA505" s="48"/>
    </row>
    <row r="506" spans="1:53" ht="19.5" customHeight="1" x14ac:dyDescent="0.25">
      <c r="A506" s="33" t="str">
        <f t="shared" si="253"/>
        <v>63525440,05</v>
      </c>
      <c r="B506" s="33" t="str">
        <f t="shared" si="254"/>
        <v>1640,05</v>
      </c>
      <c r="C506" s="34" t="str">
        <f>VLOOKUP(D506,[1]apoio_Preços_MGS!$A$6:$B$238,2,FALSE)</f>
        <v>PORTEIRO</v>
      </c>
      <c r="D506" s="35">
        <v>164</v>
      </c>
      <c r="E506" s="33" t="str">
        <f>VLOOKUP(D506,[1]apoio_Preços_MGS!$A$6:$F$238,6,FALSE)</f>
        <v>PORTEIRO - DIARISTA DIURNO - 44H</v>
      </c>
      <c r="F506" s="36">
        <f>IFERROR(VLOOKUP(D506,'[1]apoio_cód catmas'!$B$2:$C$863,2,FALSE),0)</f>
        <v>63525</v>
      </c>
      <c r="G506" s="33" t="str">
        <f>IF(H506="N/A",VLOOKUP(F506&amp;40,'[1]apoio_cód catmas'!$A$1:$G$233,4,FALSE),VLOOKUP(F506&amp;H506,'[1]apoio_cód catmas'!$A$1:$G$233,4,FALSE))</f>
        <v>PORTEIRO - 30H, 40H OU 44H</v>
      </c>
      <c r="H506" s="36">
        <v>44</v>
      </c>
      <c r="I506" s="37">
        <v>0.05</v>
      </c>
      <c r="J506" s="38" t="s">
        <v>46</v>
      </c>
      <c r="K506" s="39">
        <v>2</v>
      </c>
      <c r="L506" s="39">
        <f>K506*56</f>
        <v>112</v>
      </c>
      <c r="M506" s="40">
        <f>VLOOKUP(D506,[1]apoio_Preços_MGS!$A$6:$AN$238,18,FALSE)</f>
        <v>2357.0108214597344</v>
      </c>
      <c r="N506" s="40">
        <f>VLOOKUP(D506,[1]apoio_Preços_MGS!$A$6:$AN$238,19,FALSE)</f>
        <v>0</v>
      </c>
      <c r="O506" s="40">
        <f>VLOOKUP(D506,[1]apoio_Preços_MGS!$A$6:$AN$238,20,FALSE)</f>
        <v>0</v>
      </c>
      <c r="P506" s="40">
        <f>VLOOKUP(D506,[1]apoio_Preços_MGS!$A$6:$AN$238,21,FALSE)</f>
        <v>0</v>
      </c>
      <c r="Q506" s="40">
        <f>VLOOKUP(D506,[1]apoio_Preços_MGS!$A$6:$AN$238,22,FALSE)</f>
        <v>0</v>
      </c>
      <c r="R506" s="40">
        <f>VLOOKUP(D506,[1]apoio_Preços_MGS!$A$6:$AN$238,23,FALSE)</f>
        <v>0</v>
      </c>
      <c r="S506" s="40">
        <f>VLOOKUP(D506,[1]apoio_Preços_MGS!$A$6:$AN$238,24,FALSE)</f>
        <v>0</v>
      </c>
      <c r="T506" s="40">
        <f>VLOOKUP(D506,[1]apoio_Preços_MGS!$A$6:$AN$238,25,FALSE)</f>
        <v>0</v>
      </c>
      <c r="U506" s="40">
        <f t="shared" si="247"/>
        <v>2357.0108214597344</v>
      </c>
      <c r="V506" s="41">
        <v>0.81799999999999995</v>
      </c>
      <c r="W506" s="40">
        <f t="shared" si="248"/>
        <v>1928.0348519540626</v>
      </c>
      <c r="X506" s="40">
        <f>VLOOKUP(D506,[1]apoio_Preços_MGS!$A$6:$AN$238,29,FALSE)</f>
        <v>52.672499999999992</v>
      </c>
      <c r="Y506" s="40">
        <f>VLOOKUP(D506,[1]apoio_Preços_MGS!$A$6:$AN$238,30,FALSE)</f>
        <v>1.721363914713578</v>
      </c>
      <c r="Z506" s="40">
        <f t="shared" si="239"/>
        <v>54.39386391471357</v>
      </c>
      <c r="AA506" s="40">
        <f>VLOOKUP(D506,[1]apoio_Preços_MGS!$A$6:$AN$238,32,FALSE)</f>
        <v>4.5254607772026896</v>
      </c>
      <c r="AB506" s="40">
        <f>VLOOKUP(D506,[1]apoio_Preços_MGS!$A$6:$AN$238,33,FALSE)</f>
        <v>114.60128756822279</v>
      </c>
      <c r="AC506" s="41">
        <f>VLOOKUP(D506,[1]apoio_Preços_MGS!$A$6:$AN$238,34,FALSE)</f>
        <v>3.403517673411495E-2</v>
      </c>
      <c r="AD506" s="40">
        <f>(U506+W506+Z506+AB506+AA506+VLOOKUP(C506,[1]apoio_Prec_Folha!$A:$S,7,FALSE))*AC506</f>
        <v>170.36281388240471</v>
      </c>
      <c r="AE506" s="42">
        <f>VLOOKUP(D506,[1]apoio_Preços_MGS!$A$6:$AN$238,36,FALSE)</f>
        <v>7.0000000000000007E-2</v>
      </c>
      <c r="AF506" s="40">
        <f>(U506+W506+Z506+AB506+AD506+AA506+VLOOKUP(C506,[1]apoio_Prec_Folha!$A:$S,7,FALSE))*AE506</f>
        <v>362.30985552564397</v>
      </c>
      <c r="AG506" s="40">
        <f t="shared" si="240"/>
        <v>4991.2299999999996</v>
      </c>
      <c r="AH506" s="43">
        <f t="shared" si="241"/>
        <v>5820.67</v>
      </c>
      <c r="AI506" s="43">
        <f t="shared" si="242"/>
        <v>11641.34</v>
      </c>
      <c r="AJ506" s="43">
        <f t="shared" si="243"/>
        <v>651915.04</v>
      </c>
      <c r="AK506" s="44">
        <f>VLOOKUP(D506,[1]apoio_Preços_MGS!$A$6:$AN$238,39,FALSE)</f>
        <v>200.00000000000003</v>
      </c>
      <c r="AL506" s="44">
        <f>IF(J506="demais municípios",VLOOKUP(D506,[1]apoio_Preços_MGS!$A$6:$AN$238,39,FALSE),0)</f>
        <v>200.00000000000003</v>
      </c>
      <c r="AM506" s="44">
        <v>0</v>
      </c>
      <c r="AN506" s="45">
        <f t="shared" si="263"/>
        <v>400.00000000000006</v>
      </c>
      <c r="AO506" s="44">
        <f>VLOOKUP(D506,[1]apoio_Preços_MGS!$A$6:$AN$238,40,FALSE)</f>
        <v>546.91999999999996</v>
      </c>
      <c r="AP506" s="44">
        <f>IF(J506="demais municípios",VLOOKUP(D506,[1]apoio_Preços_MGS!$A$6:$AN$238,40,FALSE),0)</f>
        <v>546.91999999999996</v>
      </c>
      <c r="AQ506" s="44">
        <v>0</v>
      </c>
      <c r="AR506" s="45">
        <f t="shared" si="264"/>
        <v>1093.8399999999999</v>
      </c>
      <c r="AS506" s="45">
        <f t="shared" si="255"/>
        <v>1493.84</v>
      </c>
      <c r="AT506" s="45">
        <f t="shared" si="256"/>
        <v>89630.399999999994</v>
      </c>
      <c r="AU506" s="62"/>
      <c r="AV506" s="46"/>
      <c r="AW506" s="47"/>
      <c r="AX506" s="48"/>
      <c r="AY506" s="49"/>
      <c r="BA506" s="48"/>
    </row>
    <row r="507" spans="1:53" ht="19.5" customHeight="1" x14ac:dyDescent="0.25">
      <c r="A507" s="33" t="str">
        <f t="shared" si="253"/>
        <v>63525440,05</v>
      </c>
      <c r="B507" s="33" t="str">
        <f t="shared" si="254"/>
        <v>1640,05</v>
      </c>
      <c r="C507" s="34" t="str">
        <f>VLOOKUP(D507,[1]apoio_Preços_MGS!$A$6:$B$238,2,FALSE)</f>
        <v>PORTEIRO</v>
      </c>
      <c r="D507" s="35">
        <v>164</v>
      </c>
      <c r="E507" s="33" t="str">
        <f>VLOOKUP(D507,[1]apoio_Preços_MGS!$A$6:$F$238,6,FALSE)</f>
        <v>PORTEIRO - DIARISTA DIURNO - 44H</v>
      </c>
      <c r="F507" s="36">
        <f>IFERROR(VLOOKUP(D507,'[1]apoio_cód catmas'!$B$2:$C$863,2,FALSE),0)</f>
        <v>63525</v>
      </c>
      <c r="G507" s="33" t="str">
        <f>IF(H507="N/A",VLOOKUP(F507&amp;40,'[1]apoio_cód catmas'!$A$1:$G$233,4,FALSE),VLOOKUP(F507&amp;H507,'[1]apoio_cód catmas'!$A$1:$G$233,4,FALSE))</f>
        <v>PORTEIRO - 30H, 40H OU 44H</v>
      </c>
      <c r="H507" s="36">
        <v>44</v>
      </c>
      <c r="I507" s="37">
        <v>0.05</v>
      </c>
      <c r="J507" s="38" t="s">
        <v>46</v>
      </c>
      <c r="K507" s="39">
        <v>13</v>
      </c>
      <c r="L507" s="39">
        <f t="shared" si="238"/>
        <v>780</v>
      </c>
      <c r="M507" s="40">
        <f>VLOOKUP(D507,[1]apoio_Preços_MGS!$A$6:$AN$238,18,FALSE)</f>
        <v>2357.0108214597344</v>
      </c>
      <c r="N507" s="40">
        <f>VLOOKUP(D507,[1]apoio_Preços_MGS!$A$6:$AN$238,19,FALSE)</f>
        <v>0</v>
      </c>
      <c r="O507" s="40">
        <f>VLOOKUP(D507,[1]apoio_Preços_MGS!$A$6:$AN$238,20,FALSE)</f>
        <v>0</v>
      </c>
      <c r="P507" s="40">
        <f>VLOOKUP(D507,[1]apoio_Preços_MGS!$A$6:$AN$238,21,FALSE)</f>
        <v>0</v>
      </c>
      <c r="Q507" s="40">
        <f>VLOOKUP(D507,[1]apoio_Preços_MGS!$A$6:$AN$238,22,FALSE)</f>
        <v>0</v>
      </c>
      <c r="R507" s="40">
        <f>VLOOKUP(D507,[1]apoio_Preços_MGS!$A$6:$AN$238,23,FALSE)</f>
        <v>0</v>
      </c>
      <c r="S507" s="40">
        <f>VLOOKUP(D507,[1]apoio_Preços_MGS!$A$6:$AN$238,24,FALSE)</f>
        <v>0</v>
      </c>
      <c r="T507" s="40">
        <f>VLOOKUP(D507,[1]apoio_Preços_MGS!$A$6:$AN$238,25,FALSE)</f>
        <v>0</v>
      </c>
      <c r="U507" s="40">
        <f t="shared" si="247"/>
        <v>2357.0108214597344</v>
      </c>
      <c r="V507" s="41">
        <v>0.81799999999999995</v>
      </c>
      <c r="W507" s="40">
        <f t="shared" si="248"/>
        <v>1928.0348519540626</v>
      </c>
      <c r="X507" s="40">
        <f>VLOOKUP(D507,[1]apoio_Preços_MGS!$A$6:$AN$238,29,FALSE)</f>
        <v>52.672499999999992</v>
      </c>
      <c r="Y507" s="40">
        <f>VLOOKUP(D507,[1]apoio_Preços_MGS!$A$6:$AN$238,30,FALSE)</f>
        <v>1.721363914713578</v>
      </c>
      <c r="Z507" s="40">
        <f t="shared" si="239"/>
        <v>54.39386391471357</v>
      </c>
      <c r="AA507" s="40">
        <f>VLOOKUP(D507,[1]apoio_Preços_MGS!$A$6:$AN$238,32,FALSE)</f>
        <v>4.5254607772026896</v>
      </c>
      <c r="AB507" s="40">
        <f>VLOOKUP(D507,[1]apoio_Preços_MGS!$A$6:$AN$238,33,FALSE)</f>
        <v>114.60128756822279</v>
      </c>
      <c r="AC507" s="41">
        <f>VLOOKUP(D507,[1]apoio_Preços_MGS!$A$6:$AN$238,34,FALSE)</f>
        <v>3.403517673411495E-2</v>
      </c>
      <c r="AD507" s="40">
        <f>(U507+W507+Z507+AB507+AA507+VLOOKUP(C507,[1]apoio_Prec_Folha!$A:$S,7,FALSE))*AC507</f>
        <v>170.36281388240471</v>
      </c>
      <c r="AE507" s="42">
        <f>VLOOKUP(D507,[1]apoio_Preços_MGS!$A$6:$AN$238,36,FALSE)</f>
        <v>7.0000000000000007E-2</v>
      </c>
      <c r="AF507" s="40">
        <f>(U507+W507+Z507+AB507+AD507+AA507+VLOOKUP(C507,[1]apoio_Prec_Folha!$A:$S,7,FALSE))*AE507</f>
        <v>362.30985552564397</v>
      </c>
      <c r="AG507" s="40">
        <f t="shared" si="240"/>
        <v>4991.2299999999996</v>
      </c>
      <c r="AH507" s="43">
        <f t="shared" si="241"/>
        <v>5820.67</v>
      </c>
      <c r="AI507" s="43">
        <f t="shared" si="242"/>
        <v>75668.710000000006</v>
      </c>
      <c r="AJ507" s="43">
        <f t="shared" si="243"/>
        <v>4540122.5999999996</v>
      </c>
      <c r="AK507" s="44">
        <f>VLOOKUP(D507,[1]apoio_Preços_MGS!$A$6:$AN$238,39,FALSE)</f>
        <v>200.00000000000003</v>
      </c>
      <c r="AL507" s="44">
        <f>IF(J507="demais municípios",VLOOKUP(D507,[1]apoio_Preços_MGS!$A$6:$AN$238,39,FALSE),0)</f>
        <v>200.00000000000003</v>
      </c>
      <c r="AM507" s="44">
        <v>0</v>
      </c>
      <c r="AN507" s="45">
        <f t="shared" si="263"/>
        <v>2600.0000000000005</v>
      </c>
      <c r="AO507" s="44">
        <f>VLOOKUP(D507,[1]apoio_Preços_MGS!$A$6:$AN$238,40,FALSE)</f>
        <v>546.91999999999996</v>
      </c>
      <c r="AP507" s="44">
        <f>IF(J507="demais municípios",VLOOKUP(D507,[1]apoio_Preços_MGS!$A$6:$AN$238,40,FALSE),0)</f>
        <v>546.91999999999996</v>
      </c>
      <c r="AQ507" s="44">
        <v>0</v>
      </c>
      <c r="AR507" s="45">
        <f t="shared" si="264"/>
        <v>7109.9599999999991</v>
      </c>
      <c r="AS507" s="45">
        <f t="shared" si="255"/>
        <v>9709.9599999999991</v>
      </c>
      <c r="AT507" s="45">
        <f t="shared" si="256"/>
        <v>582597.6</v>
      </c>
      <c r="AU507" s="62"/>
      <c r="AV507" s="46"/>
      <c r="AW507" s="47"/>
      <c r="AX507" s="48"/>
      <c r="AY507" s="49"/>
      <c r="BA507" s="48"/>
    </row>
    <row r="508" spans="1:53" ht="19.5" customHeight="1" x14ac:dyDescent="0.25">
      <c r="A508" s="33" t="str">
        <f t="shared" si="253"/>
        <v>63967360,025</v>
      </c>
      <c r="B508" s="33" t="str">
        <f t="shared" si="254"/>
        <v>1770,025</v>
      </c>
      <c r="C508" s="34" t="str">
        <f>VLOOKUP(D508,[1]apoio_Preços_MGS!$A$6:$B$238,2,FALSE)</f>
        <v>PORTEIRO</v>
      </c>
      <c r="D508" s="35">
        <v>177</v>
      </c>
      <c r="E508" s="33" t="str">
        <f>VLOOKUP(D508,[1]apoio_Preços_MGS!$A$6:$F$238,6,FALSE)</f>
        <v>PORTEIRO (18H ÀS 0H) - ESCALA NOTURNA - 36H</v>
      </c>
      <c r="F508" s="36">
        <f>IFERROR(VLOOKUP(D508,'[1]apoio_cód catmas'!$B$2:$C$863,2,FALSE),0)</f>
        <v>63967</v>
      </c>
      <c r="G508" s="33" t="str">
        <f>IF(H508="N/A",VLOOKUP(F508&amp;40,'[1]apoio_cód catmas'!$A$1:$G$233,4,FALSE),VLOOKUP(F508&amp;H508,'[1]apoio_cód catmas'!$A$1:$G$233,4,FALSE))</f>
        <v>PORTEIRO - NOTURNO (18H AS 0H) - 36H</v>
      </c>
      <c r="H508" s="36">
        <v>36</v>
      </c>
      <c r="I508" s="37">
        <v>2.5000000000000001E-2</v>
      </c>
      <c r="J508" s="38" t="s">
        <v>46</v>
      </c>
      <c r="K508" s="39">
        <v>1</v>
      </c>
      <c r="L508" s="39">
        <f t="shared" ref="L508:L587" si="265">K508*60</f>
        <v>60</v>
      </c>
      <c r="M508" s="40">
        <f>VLOOKUP(D508,[1]apoio_Preços_MGS!$A$6:$AN$238,18,FALSE)</f>
        <v>1928.4633993761463</v>
      </c>
      <c r="N508" s="40">
        <f>VLOOKUP(D508,[1]apoio_Preços_MGS!$A$6:$AN$238,19,FALSE)</f>
        <v>0</v>
      </c>
      <c r="O508" s="40">
        <f>VLOOKUP(D508,[1]apoio_Preços_MGS!$A$6:$AN$238,20,FALSE)</f>
        <v>255.81687471837017</v>
      </c>
      <c r="P508" s="40">
        <f>VLOOKUP(D508,[1]apoio_Preços_MGS!$A$6:$AN$238,21,FALSE)</f>
        <v>0</v>
      </c>
      <c r="Q508" s="40">
        <f>VLOOKUP(D508,[1]apoio_Preços_MGS!$A$6:$AN$238,22,FALSE)</f>
        <v>20.940329810142927</v>
      </c>
      <c r="R508" s="40">
        <f>VLOOKUP(D508,[1]apoio_Preços_MGS!$A$6:$AN$238,23,FALSE)</f>
        <v>0</v>
      </c>
      <c r="S508" s="40">
        <f>VLOOKUP(D508,[1]apoio_Preços_MGS!$A$6:$AN$238,24,FALSE)</f>
        <v>87.048695110728829</v>
      </c>
      <c r="T508" s="40">
        <f>VLOOKUP(D508,[1]apoio_Preços_MGS!$A$6:$AN$238,25,FALSE)</f>
        <v>0</v>
      </c>
      <c r="U508" s="40">
        <f t="shared" si="247"/>
        <v>2292.2692990153878</v>
      </c>
      <c r="V508" s="41">
        <v>0.81799999999999995</v>
      </c>
      <c r="W508" s="40">
        <f t="shared" si="248"/>
        <v>1875.0762865945871</v>
      </c>
      <c r="X508" s="40">
        <f>VLOOKUP(D508,[1]apoio_Preços_MGS!$A$6:$AN$238,29,FALSE)</f>
        <v>52.672499999999992</v>
      </c>
      <c r="Y508" s="40">
        <f>VLOOKUP(D508,[1]apoio_Preços_MGS!$A$6:$AN$238,30,FALSE)</f>
        <v>1.721363914713578</v>
      </c>
      <c r="Z508" s="40">
        <f t="shared" si="239"/>
        <v>54.39386391471357</v>
      </c>
      <c r="AA508" s="40">
        <f>VLOOKUP(D508,[1]apoio_Preços_MGS!$A$6:$AN$238,32,FALSE)</f>
        <v>3.7026497268022007</v>
      </c>
      <c r="AB508" s="40">
        <f>VLOOKUP(D508,[1]apoio_Preços_MGS!$A$6:$AN$238,33,FALSE)</f>
        <v>128.56909029163657</v>
      </c>
      <c r="AC508" s="41">
        <f>VLOOKUP(D508,[1]apoio_Preços_MGS!$A$6:$AN$238,34,FALSE)</f>
        <v>3.403517673411495E-2</v>
      </c>
      <c r="AD508" s="40">
        <f>(U508+W508+Z508+AB508+AA508+VLOOKUP(C508,[1]apoio_Prec_Folha!$A:$S,7,FALSE))*AC508</f>
        <v>166.80426270714028</v>
      </c>
      <c r="AE508" s="42">
        <f>VLOOKUP(D508,[1]apoio_Preços_MGS!$A$6:$AN$238,36,FALSE)</f>
        <v>7.0000000000000007E-2</v>
      </c>
      <c r="AF508" s="40">
        <f>(U508+W508+Z508+AB508+AD508+AA508+VLOOKUP(C508,[1]apoio_Prec_Folha!$A:$S,7,FALSE))*AE508</f>
        <v>354.74190021421884</v>
      </c>
      <c r="AG508" s="40">
        <f t="shared" si="240"/>
        <v>4875.55</v>
      </c>
      <c r="AH508" s="43">
        <f t="shared" si="241"/>
        <v>5524.68</v>
      </c>
      <c r="AI508" s="43">
        <f t="shared" si="242"/>
        <v>5524.68</v>
      </c>
      <c r="AJ508" s="43">
        <f t="shared" si="243"/>
        <v>331480.80000000005</v>
      </c>
      <c r="AK508" s="44">
        <f>VLOOKUP(D508,[1]apoio_Preços_MGS!$A$6:$AN$238,39,FALSE)</f>
        <v>163.63636363636365</v>
      </c>
      <c r="AL508" s="44">
        <f>IF(J508="demais municípios",VLOOKUP(D508,[1]apoio_Preços_MGS!$A$6:$AN$238,39,FALSE),0)</f>
        <v>163.63636363636365</v>
      </c>
      <c r="AM508" s="44">
        <v>0</v>
      </c>
      <c r="AN508" s="45">
        <f t="shared" si="263"/>
        <v>163.63636363636365</v>
      </c>
      <c r="AO508" s="44">
        <f>VLOOKUP(D508,[1]apoio_Preços_MGS!$A$6:$AN$238,40,FALSE)</f>
        <v>646.36</v>
      </c>
      <c r="AP508" s="44">
        <f>IF(J508="demais municípios",VLOOKUP(D508,[1]apoio_Preços_MGS!$A$6:$AN$238,40,FALSE),0)</f>
        <v>646.36</v>
      </c>
      <c r="AQ508" s="44">
        <v>0</v>
      </c>
      <c r="AR508" s="45">
        <f t="shared" si="264"/>
        <v>646.36</v>
      </c>
      <c r="AS508" s="45">
        <f t="shared" si="255"/>
        <v>809.99636363636364</v>
      </c>
      <c r="AT508" s="45">
        <f t="shared" si="256"/>
        <v>48599.781818181815</v>
      </c>
      <c r="AU508" s="62"/>
      <c r="AV508" s="46"/>
      <c r="AW508" s="47"/>
      <c r="AX508" s="48"/>
      <c r="AY508" s="49"/>
      <c r="BA508" s="48"/>
    </row>
    <row r="509" spans="1:53" ht="19.5" customHeight="1" x14ac:dyDescent="0.25">
      <c r="A509" s="33" t="str">
        <f t="shared" si="253"/>
        <v>63967360,03</v>
      </c>
      <c r="B509" s="33" t="str">
        <f t="shared" si="254"/>
        <v>1770,03</v>
      </c>
      <c r="C509" s="34" t="str">
        <f>VLOOKUP(D509,[1]apoio_Preços_MGS!$A$6:$B$238,2,FALSE)</f>
        <v>PORTEIRO</v>
      </c>
      <c r="D509" s="35">
        <v>177</v>
      </c>
      <c r="E509" s="33" t="str">
        <f>VLOOKUP(D509,[1]apoio_Preços_MGS!$A$6:$F$238,6,FALSE)</f>
        <v>PORTEIRO (18H ÀS 0H) - ESCALA NOTURNA - 36H</v>
      </c>
      <c r="F509" s="36">
        <f>IFERROR(VLOOKUP(D509,'[1]apoio_cód catmas'!$B$2:$C$863,2,FALSE),0)</f>
        <v>63967</v>
      </c>
      <c r="G509" s="33" t="str">
        <f>IF(H509="N/A",VLOOKUP(F509&amp;40,'[1]apoio_cód catmas'!$A$1:$G$233,4,FALSE),VLOOKUP(F509&amp;H509,'[1]apoio_cód catmas'!$A$1:$G$233,4,FALSE))</f>
        <v>PORTEIRO - NOTURNO (18H AS 0H) - 36H</v>
      </c>
      <c r="H509" s="36">
        <v>36</v>
      </c>
      <c r="I509" s="37">
        <v>0.03</v>
      </c>
      <c r="J509" s="38" t="s">
        <v>46</v>
      </c>
      <c r="K509" s="39">
        <f>5-1</f>
        <v>4</v>
      </c>
      <c r="L509" s="39">
        <f t="shared" si="265"/>
        <v>240</v>
      </c>
      <c r="M509" s="40">
        <f>VLOOKUP(D509,[1]apoio_Preços_MGS!$A$6:$AN$238,18,FALSE)</f>
        <v>1928.4633993761463</v>
      </c>
      <c r="N509" s="40">
        <f>VLOOKUP(D509,[1]apoio_Preços_MGS!$A$6:$AN$238,19,FALSE)</f>
        <v>0</v>
      </c>
      <c r="O509" s="40">
        <f>VLOOKUP(D509,[1]apoio_Preços_MGS!$A$6:$AN$238,20,FALSE)</f>
        <v>255.81687471837017</v>
      </c>
      <c r="P509" s="40">
        <f>VLOOKUP(D509,[1]apoio_Preços_MGS!$A$6:$AN$238,21,FALSE)</f>
        <v>0</v>
      </c>
      <c r="Q509" s="40">
        <f>VLOOKUP(D509,[1]apoio_Preços_MGS!$A$6:$AN$238,22,FALSE)</f>
        <v>20.940329810142927</v>
      </c>
      <c r="R509" s="40">
        <f>VLOOKUP(D509,[1]apoio_Preços_MGS!$A$6:$AN$238,23,FALSE)</f>
        <v>0</v>
      </c>
      <c r="S509" s="40">
        <f>VLOOKUP(D509,[1]apoio_Preços_MGS!$A$6:$AN$238,24,FALSE)</f>
        <v>87.048695110728829</v>
      </c>
      <c r="T509" s="40">
        <f>VLOOKUP(D509,[1]apoio_Preços_MGS!$A$6:$AN$238,25,FALSE)</f>
        <v>0</v>
      </c>
      <c r="U509" s="40">
        <f t="shared" si="247"/>
        <v>2292.2692990153878</v>
      </c>
      <c r="V509" s="41">
        <v>0.81799999999999995</v>
      </c>
      <c r="W509" s="40">
        <f t="shared" si="248"/>
        <v>1875.0762865945871</v>
      </c>
      <c r="X509" s="40">
        <f>VLOOKUP(D509,[1]apoio_Preços_MGS!$A$6:$AN$238,29,FALSE)</f>
        <v>52.672499999999992</v>
      </c>
      <c r="Y509" s="40">
        <f>VLOOKUP(D509,[1]apoio_Preços_MGS!$A$6:$AN$238,30,FALSE)</f>
        <v>1.721363914713578</v>
      </c>
      <c r="Z509" s="40">
        <f t="shared" si="239"/>
        <v>54.39386391471357</v>
      </c>
      <c r="AA509" s="40">
        <f>VLOOKUP(D509,[1]apoio_Preços_MGS!$A$6:$AN$238,32,FALSE)</f>
        <v>3.7026497268022007</v>
      </c>
      <c r="AB509" s="40">
        <f>VLOOKUP(D509,[1]apoio_Preços_MGS!$A$6:$AN$238,33,FALSE)</f>
        <v>128.56909029163657</v>
      </c>
      <c r="AC509" s="41">
        <f>VLOOKUP(D509,[1]apoio_Preços_MGS!$A$6:$AN$238,34,FALSE)</f>
        <v>3.403517673411495E-2</v>
      </c>
      <c r="AD509" s="40">
        <f>(U509+W509+Z509+AB509+AA509+VLOOKUP(C509,[1]apoio_Prec_Folha!$A:$S,7,FALSE))*AC509</f>
        <v>166.80426270714028</v>
      </c>
      <c r="AE509" s="42">
        <f>VLOOKUP(D509,[1]apoio_Preços_MGS!$A$6:$AN$238,36,FALSE)</f>
        <v>7.0000000000000007E-2</v>
      </c>
      <c r="AF509" s="40">
        <f>(U509+W509+Z509+AB509+AD509+AA509+VLOOKUP(C509,[1]apoio_Prec_Folha!$A:$S,7,FALSE))*AE509</f>
        <v>354.74190021421884</v>
      </c>
      <c r="AG509" s="40">
        <f t="shared" si="240"/>
        <v>4875.55</v>
      </c>
      <c r="AH509" s="43">
        <f t="shared" si="241"/>
        <v>5556.17</v>
      </c>
      <c r="AI509" s="43">
        <f t="shared" si="242"/>
        <v>22224.68</v>
      </c>
      <c r="AJ509" s="43">
        <f t="shared" si="243"/>
        <v>1333480.8</v>
      </c>
      <c r="AK509" s="44">
        <f>VLOOKUP(D509,[1]apoio_Preços_MGS!$A$6:$AN$238,39,FALSE)</f>
        <v>163.63636363636365</v>
      </c>
      <c r="AL509" s="44">
        <f>IF(J509="demais municípios",VLOOKUP(D509,[1]apoio_Preços_MGS!$A$6:$AN$238,39,FALSE),0)</f>
        <v>163.63636363636365</v>
      </c>
      <c r="AM509" s="44">
        <v>0</v>
      </c>
      <c r="AN509" s="45">
        <f t="shared" si="263"/>
        <v>654.54545454545462</v>
      </c>
      <c r="AO509" s="44">
        <f>VLOOKUP(D509,[1]apoio_Preços_MGS!$A$6:$AN$238,40,FALSE)</f>
        <v>646.36</v>
      </c>
      <c r="AP509" s="44">
        <f>IF(J509="demais municípios",VLOOKUP(D509,[1]apoio_Preços_MGS!$A$6:$AN$238,40,FALSE),0)</f>
        <v>646.36</v>
      </c>
      <c r="AQ509" s="44">
        <v>0</v>
      </c>
      <c r="AR509" s="45">
        <f t="shared" si="264"/>
        <v>2585.44</v>
      </c>
      <c r="AS509" s="45">
        <f t="shared" si="255"/>
        <v>3239.9854545454546</v>
      </c>
      <c r="AT509" s="45">
        <f t="shared" si="256"/>
        <v>194399.12727272726</v>
      </c>
      <c r="AU509" s="62"/>
      <c r="AV509" s="46"/>
      <c r="AW509" s="47"/>
      <c r="AX509" s="48"/>
      <c r="AY509" s="49"/>
      <c r="BA509" s="48"/>
    </row>
    <row r="510" spans="1:53" ht="19.5" customHeight="1" x14ac:dyDescent="0.25">
      <c r="A510" s="33" t="str">
        <f t="shared" si="253"/>
        <v>63967360,05</v>
      </c>
      <c r="B510" s="33" t="str">
        <f t="shared" si="254"/>
        <v>1770,05</v>
      </c>
      <c r="C510" s="34" t="str">
        <f>VLOOKUP(D510,[1]apoio_Preços_MGS!$A$6:$B$238,2,FALSE)</f>
        <v>PORTEIRO</v>
      </c>
      <c r="D510" s="35">
        <v>177</v>
      </c>
      <c r="E510" s="33" t="str">
        <f>VLOOKUP(D510,[1]apoio_Preços_MGS!$A$6:$F$238,6,FALSE)</f>
        <v>PORTEIRO (18H ÀS 0H) - ESCALA NOTURNA - 36H</v>
      </c>
      <c r="F510" s="36">
        <f>IFERROR(VLOOKUP(D510,'[1]apoio_cód catmas'!$B$2:$C$863,2,FALSE),0)</f>
        <v>63967</v>
      </c>
      <c r="G510" s="33" t="str">
        <f>IF(H510="N/A",VLOOKUP(F510&amp;40,'[1]apoio_cód catmas'!$A$1:$G$233,4,FALSE),VLOOKUP(F510&amp;H510,'[1]apoio_cód catmas'!$A$1:$G$233,4,FALSE))</f>
        <v>PORTEIRO - NOTURNO (18H AS 0H) - 36H</v>
      </c>
      <c r="H510" s="36">
        <v>36</v>
      </c>
      <c r="I510" s="37">
        <v>0.05</v>
      </c>
      <c r="J510" s="38" t="s">
        <v>46</v>
      </c>
      <c r="K510" s="39">
        <v>2</v>
      </c>
      <c r="L510" s="39">
        <f>K510*56</f>
        <v>112</v>
      </c>
      <c r="M510" s="40">
        <f>VLOOKUP(D510,[1]apoio_Preços_MGS!$A$6:$AN$238,18,FALSE)</f>
        <v>1928.4633993761463</v>
      </c>
      <c r="N510" s="40">
        <f>VLOOKUP(D510,[1]apoio_Preços_MGS!$A$6:$AN$238,19,FALSE)</f>
        <v>0</v>
      </c>
      <c r="O510" s="40">
        <f>VLOOKUP(D510,[1]apoio_Preços_MGS!$A$6:$AN$238,20,FALSE)</f>
        <v>255.81687471837017</v>
      </c>
      <c r="P510" s="40">
        <f>VLOOKUP(D510,[1]apoio_Preços_MGS!$A$6:$AN$238,21,FALSE)</f>
        <v>0</v>
      </c>
      <c r="Q510" s="40">
        <f>VLOOKUP(D510,[1]apoio_Preços_MGS!$A$6:$AN$238,22,FALSE)</f>
        <v>20.940329810142927</v>
      </c>
      <c r="R510" s="40">
        <f>VLOOKUP(D510,[1]apoio_Preços_MGS!$A$6:$AN$238,23,FALSE)</f>
        <v>0</v>
      </c>
      <c r="S510" s="40">
        <f>VLOOKUP(D510,[1]apoio_Preços_MGS!$A$6:$AN$238,24,FALSE)</f>
        <v>87.048695110728829</v>
      </c>
      <c r="T510" s="40">
        <f>VLOOKUP(D510,[1]apoio_Preços_MGS!$A$6:$AN$238,25,FALSE)</f>
        <v>0</v>
      </c>
      <c r="U510" s="40">
        <f t="shared" si="247"/>
        <v>2292.2692990153878</v>
      </c>
      <c r="V510" s="41">
        <v>0.81799999999999995</v>
      </c>
      <c r="W510" s="40">
        <f t="shared" si="248"/>
        <v>1875.0762865945871</v>
      </c>
      <c r="X510" s="40">
        <f>VLOOKUP(D510,[1]apoio_Preços_MGS!$A$6:$AN$238,29,FALSE)</f>
        <v>52.672499999999992</v>
      </c>
      <c r="Y510" s="40">
        <f>VLOOKUP(D510,[1]apoio_Preços_MGS!$A$6:$AN$238,30,FALSE)</f>
        <v>1.721363914713578</v>
      </c>
      <c r="Z510" s="40">
        <f t="shared" si="239"/>
        <v>54.39386391471357</v>
      </c>
      <c r="AA510" s="40">
        <f>VLOOKUP(D510,[1]apoio_Preços_MGS!$A$6:$AN$238,32,FALSE)</f>
        <v>3.7026497268022007</v>
      </c>
      <c r="AB510" s="40">
        <f>VLOOKUP(D510,[1]apoio_Preços_MGS!$A$6:$AN$238,33,FALSE)</f>
        <v>128.56909029163657</v>
      </c>
      <c r="AC510" s="41">
        <f>VLOOKUP(D510,[1]apoio_Preços_MGS!$A$6:$AN$238,34,FALSE)</f>
        <v>3.403517673411495E-2</v>
      </c>
      <c r="AD510" s="40">
        <f>(U510+W510+Z510+AB510+AA510+VLOOKUP(C510,[1]apoio_Prec_Folha!$A:$S,7,FALSE))*AC510</f>
        <v>166.80426270714028</v>
      </c>
      <c r="AE510" s="42">
        <f>VLOOKUP(D510,[1]apoio_Preços_MGS!$A$6:$AN$238,36,FALSE)</f>
        <v>7.0000000000000007E-2</v>
      </c>
      <c r="AF510" s="40">
        <f>(U510+W510+Z510+AB510+AD510+AA510+VLOOKUP(C510,[1]apoio_Prec_Folha!$A:$S,7,FALSE))*AE510</f>
        <v>354.74190021421884</v>
      </c>
      <c r="AG510" s="40">
        <f t="shared" si="240"/>
        <v>4875.55</v>
      </c>
      <c r="AH510" s="43">
        <f t="shared" si="241"/>
        <v>5685.76</v>
      </c>
      <c r="AI510" s="43">
        <f t="shared" si="242"/>
        <v>11371.52</v>
      </c>
      <c r="AJ510" s="43">
        <f t="shared" si="243"/>
        <v>636805.12</v>
      </c>
      <c r="AK510" s="44">
        <f>VLOOKUP(D510,[1]apoio_Preços_MGS!$A$6:$AN$238,39,FALSE)</f>
        <v>163.63636363636365</v>
      </c>
      <c r="AL510" s="44">
        <f>IF(J510="demais municípios",VLOOKUP(D510,[1]apoio_Preços_MGS!$A$6:$AN$238,39,FALSE),0)</f>
        <v>163.63636363636365</v>
      </c>
      <c r="AM510" s="44">
        <v>0</v>
      </c>
      <c r="AN510" s="45">
        <f t="shared" si="263"/>
        <v>327.27272727272731</v>
      </c>
      <c r="AO510" s="44">
        <f>VLOOKUP(D510,[1]apoio_Preços_MGS!$A$6:$AN$238,40,FALSE)</f>
        <v>646.36</v>
      </c>
      <c r="AP510" s="44">
        <f>IF(J510="demais municípios",VLOOKUP(D510,[1]apoio_Preços_MGS!$A$6:$AN$238,40,FALSE),0)</f>
        <v>646.36</v>
      </c>
      <c r="AQ510" s="44">
        <v>0</v>
      </c>
      <c r="AR510" s="45">
        <f t="shared" si="264"/>
        <v>1292.72</v>
      </c>
      <c r="AS510" s="45">
        <f t="shared" si="255"/>
        <v>1619.9927272727273</v>
      </c>
      <c r="AT510" s="45">
        <f t="shared" si="256"/>
        <v>97199.563636363629</v>
      </c>
      <c r="AU510" s="62"/>
      <c r="AV510" s="46"/>
      <c r="AW510" s="47"/>
      <c r="AX510" s="48"/>
      <c r="AY510" s="49"/>
      <c r="BA510" s="48"/>
    </row>
    <row r="511" spans="1:53" ht="19.5" customHeight="1" x14ac:dyDescent="0.25">
      <c r="A511" s="33" t="str">
        <f t="shared" si="253"/>
        <v>63754440,03</v>
      </c>
      <c r="B511" s="33" t="str">
        <f t="shared" si="254"/>
        <v>1760,03</v>
      </c>
      <c r="C511" s="34" t="str">
        <f>VLOOKUP(D511,[1]apoio_Preços_MGS!$A$6:$B$238,2,FALSE)</f>
        <v>PORTEIRO</v>
      </c>
      <c r="D511" s="35">
        <v>176</v>
      </c>
      <c r="E511" s="33" t="str">
        <f>VLOOKUP(D511,[1]apoio_Preços_MGS!$A$6:$F$238,6,FALSE)</f>
        <v>PORTEIRO (22H ÀS 6H) - DIARISTA NOTURNO - 44H</v>
      </c>
      <c r="F511" s="36">
        <f>IFERROR(VLOOKUP(D511,'[1]apoio_cód catmas'!$B$2:$C$863,2,FALSE),0)</f>
        <v>63754</v>
      </c>
      <c r="G511" s="33" t="str">
        <f>IF(H511="N/A",VLOOKUP(F511&amp;40,'[1]apoio_cód catmas'!$A$1:$G$233,4,FALSE),VLOOKUP(F511&amp;H511,'[1]apoio_cód catmas'!$A$1:$G$233,4,FALSE))</f>
        <v>PORTEIRO - NOTURNO (22H AS 6H) - 44H</v>
      </c>
      <c r="H511" s="36">
        <v>44</v>
      </c>
      <c r="I511" s="37">
        <v>0.03</v>
      </c>
      <c r="J511" s="38" t="s">
        <v>46</v>
      </c>
      <c r="K511" s="39">
        <v>4</v>
      </c>
      <c r="L511" s="39">
        <f t="shared" si="265"/>
        <v>240</v>
      </c>
      <c r="M511" s="40">
        <f>VLOOKUP(D511,[1]apoio_Preços_MGS!$A$6:$AN$238,18,FALSE)</f>
        <v>2357.0108214597344</v>
      </c>
      <c r="N511" s="40">
        <f>VLOOKUP(D511,[1]apoio_Preços_MGS!$A$6:$AN$238,19,FALSE)</f>
        <v>0</v>
      </c>
      <c r="O511" s="40">
        <f>VLOOKUP(D511,[1]apoio_Preços_MGS!$A$6:$AN$238,20,FALSE)</f>
        <v>757.61151358901941</v>
      </c>
      <c r="P511" s="40">
        <f>VLOOKUP(D511,[1]apoio_Preços_MGS!$A$6:$AN$238,21,FALSE)</f>
        <v>8.2687480979629182</v>
      </c>
      <c r="Q511" s="40">
        <f>VLOOKUP(D511,[1]apoio_Preços_MGS!$A$6:$AN$238,22,FALSE)</f>
        <v>62.015592130038677</v>
      </c>
      <c r="R511" s="40">
        <f>VLOOKUP(D511,[1]apoio_Preços_MGS!$A$6:$AN$238,23,FALSE)</f>
        <v>0</v>
      </c>
      <c r="S511" s="40">
        <f>VLOOKUP(D511,[1]apoio_Preços_MGS!$A$6:$AN$238,24,FALSE)</f>
        <v>0</v>
      </c>
      <c r="T511" s="40">
        <f>VLOOKUP(D511,[1]apoio_Preços_MGS!$A$6:$AN$238,25,FALSE)</f>
        <v>0</v>
      </c>
      <c r="U511" s="40">
        <f t="shared" si="247"/>
        <v>3184.9066752767558</v>
      </c>
      <c r="V511" s="41">
        <v>0.81799999999999995</v>
      </c>
      <c r="W511" s="40">
        <f t="shared" si="248"/>
        <v>2605.2536603763861</v>
      </c>
      <c r="X511" s="40">
        <f>VLOOKUP(D511,[1]apoio_Preços_MGS!$A$6:$AN$238,29,FALSE)</f>
        <v>52.672499999999992</v>
      </c>
      <c r="Y511" s="40">
        <f>VLOOKUP(D511,[1]apoio_Preços_MGS!$A$6:$AN$238,30,FALSE)</f>
        <v>1.721363914713578</v>
      </c>
      <c r="Z511" s="40">
        <f t="shared" si="239"/>
        <v>54.39386391471357</v>
      </c>
      <c r="AA511" s="40">
        <f>VLOOKUP(D511,[1]apoio_Preços_MGS!$A$6:$AN$238,32,FALSE)</f>
        <v>4.5254607772026896</v>
      </c>
      <c r="AB511" s="40">
        <f>VLOOKUP(D511,[1]apoio_Preços_MGS!$A$6:$AN$238,33,FALSE)</f>
        <v>114.60128756822279</v>
      </c>
      <c r="AC511" s="41">
        <f>VLOOKUP(D511,[1]apoio_Preços_MGS!$A$6:$AN$238,34,FALSE)</f>
        <v>3.403517673411495E-2</v>
      </c>
      <c r="AD511" s="40">
        <f>(U511+W511+Z511+AB511+AA511+VLOOKUP(C511,[1]apoio_Prec_Folha!$A:$S,7,FALSE))*AC511</f>
        <v>221.58965741682852</v>
      </c>
      <c r="AE511" s="42">
        <f>VLOOKUP(D511,[1]apoio_Preços_MGS!$A$6:$AN$238,36,FALSE)</f>
        <v>7.0000000000000007E-2</v>
      </c>
      <c r="AF511" s="40">
        <f>(U511+W511+Z511+AB511+AD511+AA511+VLOOKUP(C511,[1]apoio_Prec_Folha!$A:$S,7,FALSE))*AE511</f>
        <v>471.2537609298077</v>
      </c>
      <c r="AG511" s="40">
        <f t="shared" si="240"/>
        <v>6656.52</v>
      </c>
      <c r="AH511" s="43">
        <f t="shared" si="241"/>
        <v>7585.77</v>
      </c>
      <c r="AI511" s="43">
        <f t="shared" si="242"/>
        <v>30343.08</v>
      </c>
      <c r="AJ511" s="43">
        <f t="shared" si="243"/>
        <v>1820584.8</v>
      </c>
      <c r="AK511" s="44">
        <f>VLOOKUP(D511,[1]apoio_Preços_MGS!$A$6:$AN$238,39,FALSE)</f>
        <v>200.00000000000003</v>
      </c>
      <c r="AL511" s="44">
        <f>IF(J511="demais municípios",VLOOKUP(D511,[1]apoio_Preços_MGS!$A$6:$AN$238,39,FALSE),0)</f>
        <v>200.00000000000003</v>
      </c>
      <c r="AM511" s="44">
        <v>0</v>
      </c>
      <c r="AN511" s="45">
        <f t="shared" si="263"/>
        <v>800.00000000000011</v>
      </c>
      <c r="AO511" s="44">
        <f>VLOOKUP(D511,[1]apoio_Preços_MGS!$A$6:$AN$238,40,FALSE)</f>
        <v>546.91999999999996</v>
      </c>
      <c r="AP511" s="44">
        <f>IF(J511="demais municípios",VLOOKUP(D511,[1]apoio_Preços_MGS!$A$6:$AN$238,40,FALSE),0)</f>
        <v>546.91999999999996</v>
      </c>
      <c r="AQ511" s="44">
        <v>0</v>
      </c>
      <c r="AR511" s="45">
        <f t="shared" si="264"/>
        <v>2187.6799999999998</v>
      </c>
      <c r="AS511" s="45">
        <f t="shared" si="255"/>
        <v>2987.68</v>
      </c>
      <c r="AT511" s="45">
        <f t="shared" si="256"/>
        <v>179260.79999999999</v>
      </c>
      <c r="AU511" s="62"/>
      <c r="AV511" s="46"/>
      <c r="AW511" s="47"/>
      <c r="AX511" s="48"/>
      <c r="AY511" s="49"/>
      <c r="BA511" s="48"/>
    </row>
    <row r="512" spans="1:53" ht="19.5" customHeight="1" x14ac:dyDescent="0.25">
      <c r="A512" s="33" t="str">
        <f t="shared" si="253"/>
        <v>105651300,02</v>
      </c>
      <c r="B512" s="33" t="str">
        <f t="shared" si="254"/>
        <v>11810,02</v>
      </c>
      <c r="C512" s="34" t="str">
        <f>VLOOKUP(D512,[1]apoio_Preços_MGS!$A$6:$B$238,2,FALSE)</f>
        <v>PORTEIRO</v>
      </c>
      <c r="D512" s="35">
        <v>1181</v>
      </c>
      <c r="E512" s="33" t="str">
        <f>VLOOKUP(D512,[1]apoio_Preços_MGS!$A$6:$F$238,6,FALSE)</f>
        <v>PORTEIRO (SUBS. ABSENT.) - DIARISTA DIURNO - 30H</v>
      </c>
      <c r="F512" s="36">
        <f>IFERROR(VLOOKUP(D512,'[1]apoio_cód catmas'!$B$2:$C$863,2,FALSE),0)</f>
        <v>105651</v>
      </c>
      <c r="G512" s="33" t="str">
        <f>IF(H512="N/A",VLOOKUP(F512&amp;40,'[1]apoio_cód catmas'!$A$1:$G$233,4,FALSE),VLOOKUP(F512&amp;H512,'[1]apoio_cód catmas'!$A$1:$G$233,4,FALSE))</f>
        <v>PORTEIRO (COM SUBSTITUICA) - 30H, 36H, 40H OU 44H</v>
      </c>
      <c r="H512" s="36">
        <v>30</v>
      </c>
      <c r="I512" s="37">
        <v>0.02</v>
      </c>
      <c r="J512" s="38" t="s">
        <v>46</v>
      </c>
      <c r="K512" s="39">
        <v>2</v>
      </c>
      <c r="L512" s="39">
        <f t="shared" si="265"/>
        <v>120</v>
      </c>
      <c r="M512" s="40">
        <f>VLOOKUP(D512,[1]apoio_Preços_MGS!$A$6:$AN$238,18,FALSE)</f>
        <v>1607.0528328134553</v>
      </c>
      <c r="N512" s="40">
        <f>VLOOKUP(D512,[1]apoio_Preços_MGS!$A$6:$AN$238,19,FALSE)</f>
        <v>0</v>
      </c>
      <c r="O512" s="40">
        <f>VLOOKUP(D512,[1]apoio_Preços_MGS!$A$6:$AN$238,20,FALSE)</f>
        <v>0</v>
      </c>
      <c r="P512" s="40">
        <f>VLOOKUP(D512,[1]apoio_Preços_MGS!$A$6:$AN$238,21,FALSE)</f>
        <v>0</v>
      </c>
      <c r="Q512" s="40">
        <f>VLOOKUP(D512,[1]apoio_Preços_MGS!$A$6:$AN$238,22,FALSE)</f>
        <v>0</v>
      </c>
      <c r="R512" s="40">
        <f>VLOOKUP(D512,[1]apoio_Preços_MGS!$A$6:$AN$238,23,FALSE)</f>
        <v>0</v>
      </c>
      <c r="S512" s="40">
        <f>VLOOKUP(D512,[1]apoio_Preços_MGS!$A$6:$AN$238,24,FALSE)</f>
        <v>0</v>
      </c>
      <c r="T512" s="40">
        <f>VLOOKUP(D512,[1]apoio_Preços_MGS!$A$6:$AN$238,25,FALSE)</f>
        <v>0</v>
      </c>
      <c r="U512" s="40">
        <f t="shared" si="247"/>
        <v>1607.0528328134553</v>
      </c>
      <c r="V512" s="41">
        <v>0.81799999999999995</v>
      </c>
      <c r="W512" s="40">
        <f t="shared" si="248"/>
        <v>1314.5692172414065</v>
      </c>
      <c r="X512" s="40">
        <f>VLOOKUP(D512,[1]apoio_Preços_MGS!$A$6:$AN$238,29,FALSE)</f>
        <v>52.672499999999992</v>
      </c>
      <c r="Y512" s="40">
        <f>VLOOKUP(D512,[1]apoio_Preços_MGS!$A$6:$AN$238,30,FALSE)</f>
        <v>1.721363914713578</v>
      </c>
      <c r="Z512" s="40">
        <f t="shared" ref="Z512:Z592" si="266">Y512+X512</f>
        <v>54.39386391471357</v>
      </c>
      <c r="AA512" s="40">
        <f>VLOOKUP(D512,[1]apoio_Preços_MGS!$A$6:$AN$238,32,FALSE)</f>
        <v>3.0855414390018341</v>
      </c>
      <c r="AB512" s="40">
        <f>VLOOKUP(D512,[1]apoio_Preços_MGS!$A$6:$AN$238,33,FALSE)</f>
        <v>139.04494233419689</v>
      </c>
      <c r="AC512" s="41">
        <f>VLOOKUP(D512,[1]apoio_Preços_MGS!$A$6:$AN$238,34,FALSE)</f>
        <v>4.314396214862351E-2</v>
      </c>
      <c r="AD512" s="40">
        <f>(U512+W512+Z512+AB512+AA512+VLOOKUP(C512,[1]apoio_Prec_Folha!$A:$S,7,FALSE))*AC512</f>
        <v>158.12574391061219</v>
      </c>
      <c r="AE512" s="42">
        <f>VLOOKUP(D512,[1]apoio_Preços_MGS!$A$6:$AN$238,36,FALSE)</f>
        <v>7.0000000000000007E-2</v>
      </c>
      <c r="AF512" s="40">
        <f>(U512+W512+Z512+AB512+AD512+AA512+VLOOKUP(C512,[1]apoio_Prec_Folha!$A:$S,7,FALSE))*AE512</f>
        <v>267.6238684724371</v>
      </c>
      <c r="AG512" s="40">
        <f t="shared" ref="AG512:AG592" si="267">TRUNC(U512+W512+Z512+AB512+AA512+AD512+AF512,2)</f>
        <v>3543.89</v>
      </c>
      <c r="AH512" s="43">
        <f t="shared" ref="AH512:AH592" si="268">TRUNC($AG512*ROUND((7.6%+1.65%+$I512)/(1-(7.6%+1.65%+$I512)),5)+$AG512,2)</f>
        <v>3993.11</v>
      </c>
      <c r="AI512" s="43">
        <f t="shared" ref="AI512:AI592" si="269">AH512*K512</f>
        <v>7986.22</v>
      </c>
      <c r="AJ512" s="43">
        <f t="shared" ref="AJ512:AJ592" si="270">AH512*L512</f>
        <v>479173.2</v>
      </c>
      <c r="AK512" s="44">
        <f>VLOOKUP(D512,[1]apoio_Preços_MGS!$A$6:$AN$238,39,FALSE)</f>
        <v>136.36363636363637</v>
      </c>
      <c r="AL512" s="44">
        <f>IF(J512="demais municípios",VLOOKUP(D512,[1]apoio_Preços_MGS!$A$6:$AN$238,39,FALSE),0)</f>
        <v>136.36363636363637</v>
      </c>
      <c r="AM512" s="44">
        <v>0</v>
      </c>
      <c r="AN512" s="45">
        <f t="shared" si="263"/>
        <v>272.72727272727275</v>
      </c>
      <c r="AO512" s="44">
        <f>VLOOKUP(D512,[1]apoio_Preços_MGS!$A$6:$AN$238,40,FALSE)</f>
        <v>646.36</v>
      </c>
      <c r="AP512" s="44">
        <f>IF(J512="demais municípios",VLOOKUP(D512,[1]apoio_Preços_MGS!$A$6:$AN$238,40,FALSE),0)</f>
        <v>646.36</v>
      </c>
      <c r="AQ512" s="44">
        <v>0</v>
      </c>
      <c r="AR512" s="45">
        <f t="shared" si="264"/>
        <v>1292.72</v>
      </c>
      <c r="AS512" s="45">
        <f t="shared" si="255"/>
        <v>1565.4472727272728</v>
      </c>
      <c r="AT512" s="45">
        <f t="shared" si="256"/>
        <v>93926.836363636365</v>
      </c>
      <c r="AU512" s="62"/>
      <c r="AV512" s="46"/>
      <c r="AW512" s="47"/>
      <c r="AX512" s="48"/>
      <c r="AY512" s="49"/>
      <c r="BA512" s="48"/>
    </row>
    <row r="513" spans="1:53" ht="19.5" customHeight="1" x14ac:dyDescent="0.25">
      <c r="A513" s="33" t="str">
        <f t="shared" si="253"/>
        <v>105651300,03</v>
      </c>
      <c r="B513" s="33" t="str">
        <f t="shared" si="254"/>
        <v>11810,03</v>
      </c>
      <c r="C513" s="34" t="str">
        <f>VLOOKUP(D513,[1]apoio_Preços_MGS!$A$6:$B$238,2,FALSE)</f>
        <v>PORTEIRO</v>
      </c>
      <c r="D513" s="35">
        <v>1181</v>
      </c>
      <c r="E513" s="33" t="str">
        <f>VLOOKUP(D513,[1]apoio_Preços_MGS!$A$6:$F$238,6,FALSE)</f>
        <v>PORTEIRO (SUBS. ABSENT.) - DIARISTA DIURNO - 30H</v>
      </c>
      <c r="F513" s="36">
        <f>IFERROR(VLOOKUP(D513,'[1]apoio_cód catmas'!$B$2:$C$863,2,FALSE),0)</f>
        <v>105651</v>
      </c>
      <c r="G513" s="33" t="str">
        <f>IF(H513="N/A",VLOOKUP(F513&amp;40,'[1]apoio_cód catmas'!$A$1:$G$233,4,FALSE),VLOOKUP(F513&amp;H513,'[1]apoio_cód catmas'!$A$1:$G$233,4,FALSE))</f>
        <v>PORTEIRO (COM SUBSTITUICA) - 30H, 36H, 40H OU 44H</v>
      </c>
      <c r="H513" s="36">
        <v>30</v>
      </c>
      <c r="I513" s="37">
        <v>0.03</v>
      </c>
      <c r="J513" s="38" t="s">
        <v>46</v>
      </c>
      <c r="K513" s="39">
        <v>2</v>
      </c>
      <c r="L513" s="39">
        <f t="shared" si="265"/>
        <v>120</v>
      </c>
      <c r="M513" s="40">
        <f>VLOOKUP(D513,[1]apoio_Preços_MGS!$A$6:$AN$238,18,FALSE)</f>
        <v>1607.0528328134553</v>
      </c>
      <c r="N513" s="40">
        <f>VLOOKUP(D513,[1]apoio_Preços_MGS!$A$6:$AN$238,19,FALSE)</f>
        <v>0</v>
      </c>
      <c r="O513" s="40">
        <f>VLOOKUP(D513,[1]apoio_Preços_MGS!$A$6:$AN$238,20,FALSE)</f>
        <v>0</v>
      </c>
      <c r="P513" s="40">
        <f>VLOOKUP(D513,[1]apoio_Preços_MGS!$A$6:$AN$238,21,FALSE)</f>
        <v>0</v>
      </c>
      <c r="Q513" s="40">
        <f>VLOOKUP(D513,[1]apoio_Preços_MGS!$A$6:$AN$238,22,FALSE)</f>
        <v>0</v>
      </c>
      <c r="R513" s="40">
        <f>VLOOKUP(D513,[1]apoio_Preços_MGS!$A$6:$AN$238,23,FALSE)</f>
        <v>0</v>
      </c>
      <c r="S513" s="40">
        <f>VLOOKUP(D513,[1]apoio_Preços_MGS!$A$6:$AN$238,24,FALSE)</f>
        <v>0</v>
      </c>
      <c r="T513" s="40">
        <f>VLOOKUP(D513,[1]apoio_Preços_MGS!$A$6:$AN$238,25,FALSE)</f>
        <v>0</v>
      </c>
      <c r="U513" s="40">
        <f t="shared" si="247"/>
        <v>1607.0528328134553</v>
      </c>
      <c r="V513" s="41">
        <v>0.81799999999999995</v>
      </c>
      <c r="W513" s="40">
        <f t="shared" si="248"/>
        <v>1314.5692172414065</v>
      </c>
      <c r="X513" s="40">
        <f>VLOOKUP(D513,[1]apoio_Preços_MGS!$A$6:$AN$238,29,FALSE)</f>
        <v>52.672499999999992</v>
      </c>
      <c r="Y513" s="40">
        <f>VLOOKUP(D513,[1]apoio_Preços_MGS!$A$6:$AN$238,30,FALSE)</f>
        <v>1.721363914713578</v>
      </c>
      <c r="Z513" s="40">
        <f t="shared" si="266"/>
        <v>54.39386391471357</v>
      </c>
      <c r="AA513" s="40">
        <f>VLOOKUP(D513,[1]apoio_Preços_MGS!$A$6:$AN$238,32,FALSE)</f>
        <v>3.0855414390018341</v>
      </c>
      <c r="AB513" s="40">
        <f>VLOOKUP(D513,[1]apoio_Preços_MGS!$A$6:$AN$238,33,FALSE)</f>
        <v>139.04494233419689</v>
      </c>
      <c r="AC513" s="41">
        <f>VLOOKUP(D513,[1]apoio_Preços_MGS!$A$6:$AN$238,34,FALSE)</f>
        <v>4.314396214862351E-2</v>
      </c>
      <c r="AD513" s="40">
        <f>(U513+W513+Z513+AB513+AA513+VLOOKUP(C513,[1]apoio_Prec_Folha!$A:$S,7,FALSE))*AC513</f>
        <v>158.12574391061219</v>
      </c>
      <c r="AE513" s="42">
        <f>VLOOKUP(D513,[1]apoio_Preços_MGS!$A$6:$AN$238,36,FALSE)</f>
        <v>7.0000000000000007E-2</v>
      </c>
      <c r="AF513" s="40">
        <f>(U513+W513+Z513+AB513+AD513+AA513+VLOOKUP(C513,[1]apoio_Prec_Folha!$A:$S,7,FALSE))*AE513</f>
        <v>267.6238684724371</v>
      </c>
      <c r="AG513" s="40">
        <f t="shared" si="267"/>
        <v>3543.89</v>
      </c>
      <c r="AH513" s="43">
        <f t="shared" si="268"/>
        <v>4038.61</v>
      </c>
      <c r="AI513" s="43">
        <f t="shared" si="269"/>
        <v>8077.22</v>
      </c>
      <c r="AJ513" s="43">
        <f t="shared" si="270"/>
        <v>484633.2</v>
      </c>
      <c r="AK513" s="44">
        <f>VLOOKUP(D513,[1]apoio_Preços_MGS!$A$6:$AN$238,39,FALSE)</f>
        <v>136.36363636363637</v>
      </c>
      <c r="AL513" s="44">
        <f>IF(J513="demais municípios",VLOOKUP(D513,[1]apoio_Preços_MGS!$A$6:$AN$238,39,FALSE),0)</f>
        <v>136.36363636363637</v>
      </c>
      <c r="AM513" s="44">
        <v>0</v>
      </c>
      <c r="AN513" s="45">
        <f t="shared" si="263"/>
        <v>272.72727272727275</v>
      </c>
      <c r="AO513" s="44">
        <f>VLOOKUP(D513,[1]apoio_Preços_MGS!$A$6:$AN$238,40,FALSE)</f>
        <v>646.36</v>
      </c>
      <c r="AP513" s="44">
        <f>IF(J513="demais municípios",VLOOKUP(D513,[1]apoio_Preços_MGS!$A$6:$AN$238,40,FALSE),0)</f>
        <v>646.36</v>
      </c>
      <c r="AQ513" s="44">
        <v>0</v>
      </c>
      <c r="AR513" s="45">
        <f t="shared" si="264"/>
        <v>1292.72</v>
      </c>
      <c r="AS513" s="45">
        <f t="shared" si="255"/>
        <v>1565.4472727272728</v>
      </c>
      <c r="AT513" s="45">
        <f t="shared" si="256"/>
        <v>93926.836363636365</v>
      </c>
      <c r="AU513" s="62"/>
      <c r="AV513" s="46"/>
      <c r="AW513" s="47"/>
      <c r="AX513" s="48"/>
      <c r="AY513" s="49"/>
      <c r="BA513" s="48"/>
    </row>
    <row r="514" spans="1:53" ht="19.5" customHeight="1" x14ac:dyDescent="0.25">
      <c r="A514" s="33" t="str">
        <f t="shared" si="253"/>
        <v>105651300,05</v>
      </c>
      <c r="B514" s="33" t="str">
        <f t="shared" si="254"/>
        <v>11810,05</v>
      </c>
      <c r="C514" s="34" t="str">
        <f>VLOOKUP(D514,[1]apoio_Preços_MGS!$A$6:$B$238,2,FALSE)</f>
        <v>PORTEIRO</v>
      </c>
      <c r="D514" s="35">
        <v>1181</v>
      </c>
      <c r="E514" s="33" t="str">
        <f>VLOOKUP(D514,[1]apoio_Preços_MGS!$A$6:$F$238,6,FALSE)</f>
        <v>PORTEIRO (SUBS. ABSENT.) - DIARISTA DIURNO - 30H</v>
      </c>
      <c r="F514" s="36">
        <f>IFERROR(VLOOKUP(D514,'[1]apoio_cód catmas'!$B$2:$C$863,2,FALSE),0)</f>
        <v>105651</v>
      </c>
      <c r="G514" s="33" t="str">
        <f>IF(H514="N/A",VLOOKUP(F514&amp;40,'[1]apoio_cód catmas'!$A$1:$G$233,4,FALSE),VLOOKUP(F514&amp;H514,'[1]apoio_cód catmas'!$A$1:$G$233,4,FALSE))</f>
        <v>PORTEIRO (COM SUBSTITUICA) - 30H, 36H, 40H OU 44H</v>
      </c>
      <c r="H514" s="36">
        <v>30</v>
      </c>
      <c r="I514" s="37">
        <v>0.05</v>
      </c>
      <c r="J514" s="38" t="s">
        <v>47</v>
      </c>
      <c r="K514" s="39">
        <v>6</v>
      </c>
      <c r="L514" s="39">
        <f t="shared" si="265"/>
        <v>360</v>
      </c>
      <c r="M514" s="40">
        <f>VLOOKUP(D514,[1]apoio_Preços_MGS!$A$6:$AN$238,18,FALSE)</f>
        <v>1607.0528328134553</v>
      </c>
      <c r="N514" s="40">
        <f>VLOOKUP(D514,[1]apoio_Preços_MGS!$A$6:$AN$238,19,FALSE)</f>
        <v>0</v>
      </c>
      <c r="O514" s="40">
        <f>VLOOKUP(D514,[1]apoio_Preços_MGS!$A$6:$AN$238,20,FALSE)</f>
        <v>0</v>
      </c>
      <c r="P514" s="40">
        <f>VLOOKUP(D514,[1]apoio_Preços_MGS!$A$6:$AN$238,21,FALSE)</f>
        <v>0</v>
      </c>
      <c r="Q514" s="40">
        <f>VLOOKUP(D514,[1]apoio_Preços_MGS!$A$6:$AN$238,22,FALSE)</f>
        <v>0</v>
      </c>
      <c r="R514" s="40">
        <f>VLOOKUP(D514,[1]apoio_Preços_MGS!$A$6:$AN$238,23,FALSE)</f>
        <v>0</v>
      </c>
      <c r="S514" s="40">
        <f>VLOOKUP(D514,[1]apoio_Preços_MGS!$A$6:$AN$238,24,FALSE)</f>
        <v>0</v>
      </c>
      <c r="T514" s="40">
        <f>VLOOKUP(D514,[1]apoio_Preços_MGS!$A$6:$AN$238,25,FALSE)</f>
        <v>0</v>
      </c>
      <c r="U514" s="40">
        <f t="shared" si="247"/>
        <v>1607.0528328134553</v>
      </c>
      <c r="V514" s="41">
        <v>0.81799999999999995</v>
      </c>
      <c r="W514" s="40">
        <f t="shared" si="248"/>
        <v>1314.5692172414065</v>
      </c>
      <c r="X514" s="40">
        <f>VLOOKUP(D514,[1]apoio_Preços_MGS!$A$6:$AN$238,29,FALSE)</f>
        <v>52.672499999999992</v>
      </c>
      <c r="Y514" s="40">
        <f>VLOOKUP(D514,[1]apoio_Preços_MGS!$A$6:$AN$238,30,FALSE)</f>
        <v>1.721363914713578</v>
      </c>
      <c r="Z514" s="40">
        <f t="shared" si="266"/>
        <v>54.39386391471357</v>
      </c>
      <c r="AA514" s="40">
        <f>VLOOKUP(D514,[1]apoio_Preços_MGS!$A$6:$AN$238,32,FALSE)</f>
        <v>3.0855414390018341</v>
      </c>
      <c r="AB514" s="40">
        <f>VLOOKUP(D514,[1]apoio_Preços_MGS!$A$6:$AN$238,33,FALSE)</f>
        <v>139.04494233419689</v>
      </c>
      <c r="AC514" s="41">
        <f>VLOOKUP(D514,[1]apoio_Preços_MGS!$A$6:$AN$238,34,FALSE)</f>
        <v>4.314396214862351E-2</v>
      </c>
      <c r="AD514" s="40">
        <f>(U514+W514+Z514+AB514+AA514+VLOOKUP(C514,[1]apoio_Prec_Folha!$A:$S,7,FALSE))*AC514</f>
        <v>158.12574391061219</v>
      </c>
      <c r="AE514" s="42">
        <f>VLOOKUP(D514,[1]apoio_Preços_MGS!$A$6:$AN$238,36,FALSE)</f>
        <v>7.0000000000000007E-2</v>
      </c>
      <c r="AF514" s="40">
        <f>(U514+W514+Z514+AB514+AD514+AA514+VLOOKUP(C514,[1]apoio_Prec_Folha!$A:$S,7,FALSE))*AE514</f>
        <v>267.6238684724371</v>
      </c>
      <c r="AG514" s="40">
        <f t="shared" si="267"/>
        <v>3543.89</v>
      </c>
      <c r="AH514" s="43">
        <f t="shared" si="268"/>
        <v>4132.8100000000004</v>
      </c>
      <c r="AI514" s="43">
        <f t="shared" si="269"/>
        <v>24796.86</v>
      </c>
      <c r="AJ514" s="43">
        <f t="shared" si="270"/>
        <v>1487811.6</v>
      </c>
      <c r="AK514" s="44">
        <f>VLOOKUP(D514,[1]apoio_Preços_MGS!$A$6:$AN$238,39,FALSE)</f>
        <v>136.36363636363637</v>
      </c>
      <c r="AL514" s="44">
        <f>IF(J514="demais municípios",VLOOKUP(D514,[1]apoio_Preços_MGS!$A$6:$AN$238,39,FALSE),0)</f>
        <v>0</v>
      </c>
      <c r="AM514" s="44">
        <f>TRUNC(ROUND(($I514)/(1-($I514)),5)*VLOOKUP(D514,[1]apoio_Preços_MGS!$A$6:$AN$238,39,FALSE)+VLOOKUP(D514,[1]apoio_Preços_MGS!$A$6:$AN$238,39,FALSE),2)</f>
        <v>143.54</v>
      </c>
      <c r="AN514" s="45">
        <f t="shared" si="257"/>
        <v>861.24</v>
      </c>
      <c r="AO514" s="44">
        <f>VLOOKUP(D514,[1]apoio_Preços_MGS!$A$6:$AN$238,40,FALSE)</f>
        <v>646.36</v>
      </c>
      <c r="AP514" s="44">
        <f>IF(J514="demais municípios",VLOOKUP(D514,[1]apoio_Preços_MGS!$A$6:$AN$238,40,FALSE),0)</f>
        <v>0</v>
      </c>
      <c r="AQ514" s="44">
        <f>TRUNC(ROUND(($I514)/(1-($I514)),5)*VLOOKUP(D514,[1]apoio_Preços_MGS!$A$6:$AN$238,40,FALSE)+VLOOKUP(D514,[1]apoio_Preços_MGS!$A$6:$AN$238,40,FALSE),2)</f>
        <v>680.37</v>
      </c>
      <c r="AR514" s="45">
        <f t="shared" si="258"/>
        <v>4082.2200000000003</v>
      </c>
      <c r="AS514" s="45">
        <f t="shared" si="255"/>
        <v>4943.46</v>
      </c>
      <c r="AT514" s="45">
        <f t="shared" si="256"/>
        <v>296607.59999999998</v>
      </c>
      <c r="AU514" s="62"/>
      <c r="AV514" s="46"/>
      <c r="AW514" s="47"/>
      <c r="AX514" s="48"/>
      <c r="AY514" s="49"/>
      <c r="BA514" s="48"/>
    </row>
    <row r="515" spans="1:53" ht="19.5" customHeight="1" x14ac:dyDescent="0.25">
      <c r="A515" s="33" t="str">
        <f t="shared" si="253"/>
        <v>105651400,02</v>
      </c>
      <c r="B515" s="33" t="str">
        <f t="shared" si="254"/>
        <v>11820,02</v>
      </c>
      <c r="C515" s="34" t="str">
        <f>VLOOKUP(D515,[1]apoio_Preços_MGS!$A$6:$B$238,2,FALSE)</f>
        <v>PORTEIRO</v>
      </c>
      <c r="D515" s="35">
        <v>1182</v>
      </c>
      <c r="E515" s="33" t="str">
        <f>VLOOKUP(D515,[1]apoio_Preços_MGS!$A$6:$F$238,6,FALSE)</f>
        <v>PORTEIRO (SUBS. ABSENT.) - DIARISTA DIURNO - 40H</v>
      </c>
      <c r="F515" s="36">
        <f>IFERROR(VLOOKUP(D515,'[1]apoio_cód catmas'!$B$2:$C$863,2,FALSE),0)</f>
        <v>105651</v>
      </c>
      <c r="G515" s="33" t="str">
        <f>IF(H515="N/A",VLOOKUP(F515&amp;40,'[1]apoio_cód catmas'!$A$1:$G$233,4,FALSE),VLOOKUP(F515&amp;H515,'[1]apoio_cód catmas'!$A$1:$G$233,4,FALSE))</f>
        <v>PORTEIRO (COM SUBSTITUICA) - 30H, 36H, 40H OU 44H</v>
      </c>
      <c r="H515" s="36">
        <v>40</v>
      </c>
      <c r="I515" s="37">
        <v>0.02</v>
      </c>
      <c r="J515" s="38" t="s">
        <v>46</v>
      </c>
      <c r="K515" s="39">
        <v>12</v>
      </c>
      <c r="L515" s="39">
        <f t="shared" si="265"/>
        <v>720</v>
      </c>
      <c r="M515" s="40">
        <f>VLOOKUP(D515,[1]apoio_Preços_MGS!$A$6:$AN$238,18,FALSE)</f>
        <v>2142.7371104179406</v>
      </c>
      <c r="N515" s="40">
        <f>VLOOKUP(D515,[1]apoio_Preços_MGS!$A$6:$AN$238,19,FALSE)</f>
        <v>0</v>
      </c>
      <c r="O515" s="40">
        <f>VLOOKUP(D515,[1]apoio_Preços_MGS!$A$6:$AN$238,20,FALSE)</f>
        <v>0</v>
      </c>
      <c r="P515" s="40">
        <f>VLOOKUP(D515,[1]apoio_Preços_MGS!$A$6:$AN$238,21,FALSE)</f>
        <v>0</v>
      </c>
      <c r="Q515" s="40">
        <f>VLOOKUP(D515,[1]apoio_Preços_MGS!$A$6:$AN$238,22,FALSE)</f>
        <v>0</v>
      </c>
      <c r="R515" s="40">
        <f>VLOOKUP(D515,[1]apoio_Preços_MGS!$A$6:$AN$238,23,FALSE)</f>
        <v>0</v>
      </c>
      <c r="S515" s="40">
        <f>VLOOKUP(D515,[1]apoio_Preços_MGS!$A$6:$AN$238,24,FALSE)</f>
        <v>0</v>
      </c>
      <c r="T515" s="40">
        <f>VLOOKUP(D515,[1]apoio_Preços_MGS!$A$6:$AN$238,25,FALSE)</f>
        <v>0</v>
      </c>
      <c r="U515" s="40">
        <f t="shared" si="247"/>
        <v>2142.7371104179406</v>
      </c>
      <c r="V515" s="41">
        <v>0.81799999999999995</v>
      </c>
      <c r="W515" s="40">
        <f t="shared" si="248"/>
        <v>1752.7589563218753</v>
      </c>
      <c r="X515" s="40">
        <f>VLOOKUP(D515,[1]apoio_Preços_MGS!$A$6:$AN$238,29,FALSE)</f>
        <v>52.672499999999992</v>
      </c>
      <c r="Y515" s="40">
        <f>VLOOKUP(D515,[1]apoio_Preços_MGS!$A$6:$AN$238,30,FALSE)</f>
        <v>1.721363914713578</v>
      </c>
      <c r="Z515" s="40">
        <f t="shared" si="266"/>
        <v>54.39386391471357</v>
      </c>
      <c r="AA515" s="40">
        <f>VLOOKUP(D515,[1]apoio_Preços_MGS!$A$6:$AN$238,32,FALSE)</f>
        <v>4.1140552520024452</v>
      </c>
      <c r="AB515" s="40">
        <f>VLOOKUP(D515,[1]apoio_Preços_MGS!$A$6:$AN$238,33,FALSE)</f>
        <v>121.58518892992969</v>
      </c>
      <c r="AC515" s="41">
        <f>VLOOKUP(D515,[1]apoio_Preços_MGS!$A$6:$AN$238,34,FALSE)</f>
        <v>4.314396214862351E-2</v>
      </c>
      <c r="AD515" s="40">
        <f>(U515+W515+Z515+AB515+AA515+VLOOKUP(C515,[1]apoio_Prec_Folha!$A:$S,7,FALSE))*AC515</f>
        <v>199.43361884501522</v>
      </c>
      <c r="AE515" s="42">
        <f>VLOOKUP(D515,[1]apoio_Preços_MGS!$A$6:$AN$238,36,FALSE)</f>
        <v>7.0000000000000007E-2</v>
      </c>
      <c r="AF515" s="40">
        <f>(U515+W515+Z515+AB515+AD515+AA515+VLOOKUP(C515,[1]apoio_Prec_Folha!$A:$S,7,FALSE))*AE515</f>
        <v>337.53641411440344</v>
      </c>
      <c r="AG515" s="40">
        <f t="shared" si="267"/>
        <v>4612.55</v>
      </c>
      <c r="AH515" s="43">
        <f t="shared" si="268"/>
        <v>5197.2299999999996</v>
      </c>
      <c r="AI515" s="43">
        <f t="shared" si="269"/>
        <v>62366.759999999995</v>
      </c>
      <c r="AJ515" s="43">
        <f t="shared" si="270"/>
        <v>3742005.5999999996</v>
      </c>
      <c r="AK515" s="44">
        <f>VLOOKUP(D515,[1]apoio_Preços_MGS!$A$6:$AN$238,39,FALSE)</f>
        <v>181.81818181818184</v>
      </c>
      <c r="AL515" s="44">
        <f>IF(J515="demais municípios",VLOOKUP(D515,[1]apoio_Preços_MGS!$A$6:$AN$238,39,FALSE),0)</f>
        <v>181.81818181818184</v>
      </c>
      <c r="AM515" s="44">
        <v>0</v>
      </c>
      <c r="AN515" s="45">
        <f t="shared" ref="AN515:AN520" si="271">AK515*K515</f>
        <v>2181.818181818182</v>
      </c>
      <c r="AO515" s="44">
        <f>VLOOKUP(D515,[1]apoio_Preços_MGS!$A$6:$AN$238,40,FALSE)</f>
        <v>546.91999999999996</v>
      </c>
      <c r="AP515" s="44">
        <f>IF(J515="demais municípios",VLOOKUP(D515,[1]apoio_Preços_MGS!$A$6:$AN$238,40,FALSE),0)</f>
        <v>546.91999999999996</v>
      </c>
      <c r="AQ515" s="44">
        <v>0</v>
      </c>
      <c r="AR515" s="45">
        <f t="shared" ref="AR515:AR520" si="272">AO515*K515</f>
        <v>6563.0399999999991</v>
      </c>
      <c r="AS515" s="45">
        <f t="shared" si="255"/>
        <v>8744.858181818181</v>
      </c>
      <c r="AT515" s="45">
        <f t="shared" si="256"/>
        <v>524691.49090909085</v>
      </c>
      <c r="AU515" s="62"/>
      <c r="AV515" s="46"/>
      <c r="AW515" s="47"/>
      <c r="AX515" s="48"/>
      <c r="AY515" s="49"/>
      <c r="BA515" s="48"/>
    </row>
    <row r="516" spans="1:53" ht="19.5" customHeight="1" x14ac:dyDescent="0.25">
      <c r="A516" s="33" t="str">
        <f t="shared" si="253"/>
        <v>105651400,027</v>
      </c>
      <c r="B516" s="33" t="str">
        <f t="shared" si="254"/>
        <v>11820,027</v>
      </c>
      <c r="C516" s="34" t="str">
        <f>VLOOKUP(D516,[1]apoio_Preços_MGS!$A$6:$B$238,2,FALSE)</f>
        <v>PORTEIRO</v>
      </c>
      <c r="D516" s="35">
        <v>1182</v>
      </c>
      <c r="E516" s="33" t="str">
        <f>VLOOKUP(D516,[1]apoio_Preços_MGS!$A$6:$F$238,6,FALSE)</f>
        <v>PORTEIRO (SUBS. ABSENT.) - DIARISTA DIURNO - 40H</v>
      </c>
      <c r="F516" s="36">
        <f>IFERROR(VLOOKUP(D516,'[1]apoio_cód catmas'!$B$2:$C$863,2,FALSE),0)</f>
        <v>105651</v>
      </c>
      <c r="G516" s="33" t="str">
        <f>IF(H516="N/A",VLOOKUP(F516&amp;40,'[1]apoio_cód catmas'!$A$1:$G$233,4,FALSE),VLOOKUP(F516&amp;H516,'[1]apoio_cód catmas'!$A$1:$G$233,4,FALSE))</f>
        <v>PORTEIRO (COM SUBSTITUICA) - 30H, 36H, 40H OU 44H</v>
      </c>
      <c r="H516" s="36">
        <v>40</v>
      </c>
      <c r="I516" s="37">
        <v>2.7000000000000003E-2</v>
      </c>
      <c r="J516" s="38" t="s">
        <v>46</v>
      </c>
      <c r="K516" s="39">
        <v>1</v>
      </c>
      <c r="L516" s="39">
        <f t="shared" si="265"/>
        <v>60</v>
      </c>
      <c r="M516" s="40">
        <f>VLOOKUP(D516,[1]apoio_Preços_MGS!$A$6:$AN$238,18,FALSE)</f>
        <v>2142.7371104179406</v>
      </c>
      <c r="N516" s="40">
        <f>VLOOKUP(D516,[1]apoio_Preços_MGS!$A$6:$AN$238,19,FALSE)</f>
        <v>0</v>
      </c>
      <c r="O516" s="40">
        <f>VLOOKUP(D516,[1]apoio_Preços_MGS!$A$6:$AN$238,20,FALSE)</f>
        <v>0</v>
      </c>
      <c r="P516" s="40">
        <f>VLOOKUP(D516,[1]apoio_Preços_MGS!$A$6:$AN$238,21,FALSE)</f>
        <v>0</v>
      </c>
      <c r="Q516" s="40">
        <f>VLOOKUP(D516,[1]apoio_Preços_MGS!$A$6:$AN$238,22,FALSE)</f>
        <v>0</v>
      </c>
      <c r="R516" s="40">
        <f>VLOOKUP(D516,[1]apoio_Preços_MGS!$A$6:$AN$238,23,FALSE)</f>
        <v>0</v>
      </c>
      <c r="S516" s="40">
        <f>VLOOKUP(D516,[1]apoio_Preços_MGS!$A$6:$AN$238,24,FALSE)</f>
        <v>0</v>
      </c>
      <c r="T516" s="40">
        <f>VLOOKUP(D516,[1]apoio_Preços_MGS!$A$6:$AN$238,25,FALSE)</f>
        <v>0</v>
      </c>
      <c r="U516" s="40">
        <f t="shared" si="247"/>
        <v>2142.7371104179406</v>
      </c>
      <c r="V516" s="41">
        <v>0.81799999999999995</v>
      </c>
      <c r="W516" s="40">
        <f t="shared" si="248"/>
        <v>1752.7589563218753</v>
      </c>
      <c r="X516" s="40">
        <f>VLOOKUP(D516,[1]apoio_Preços_MGS!$A$6:$AN$238,29,FALSE)</f>
        <v>52.672499999999992</v>
      </c>
      <c r="Y516" s="40">
        <f>VLOOKUP(D516,[1]apoio_Preços_MGS!$A$6:$AN$238,30,FALSE)</f>
        <v>1.721363914713578</v>
      </c>
      <c r="Z516" s="40">
        <f t="shared" si="266"/>
        <v>54.39386391471357</v>
      </c>
      <c r="AA516" s="40">
        <f>VLOOKUP(D516,[1]apoio_Preços_MGS!$A$6:$AN$238,32,FALSE)</f>
        <v>4.1140552520024452</v>
      </c>
      <c r="AB516" s="40">
        <f>VLOOKUP(D516,[1]apoio_Preços_MGS!$A$6:$AN$238,33,FALSE)</f>
        <v>121.58518892992969</v>
      </c>
      <c r="AC516" s="41">
        <f>VLOOKUP(D516,[1]apoio_Preços_MGS!$A$6:$AN$238,34,FALSE)</f>
        <v>4.314396214862351E-2</v>
      </c>
      <c r="AD516" s="40">
        <f>(U516+W516+Z516+AB516+AA516+VLOOKUP(C516,[1]apoio_Prec_Folha!$A:$S,7,FALSE))*AC516</f>
        <v>199.43361884501522</v>
      </c>
      <c r="AE516" s="42">
        <f>VLOOKUP(D516,[1]apoio_Preços_MGS!$A$6:$AN$238,36,FALSE)</f>
        <v>7.0000000000000007E-2</v>
      </c>
      <c r="AF516" s="40">
        <f>(U516+W516+Z516+AB516+AD516+AA516+VLOOKUP(C516,[1]apoio_Prec_Folha!$A:$S,7,FALSE))*AE516</f>
        <v>337.53641411440344</v>
      </c>
      <c r="AG516" s="40">
        <f t="shared" si="267"/>
        <v>4612.55</v>
      </c>
      <c r="AH516" s="43">
        <f t="shared" si="268"/>
        <v>5238.5600000000004</v>
      </c>
      <c r="AI516" s="43">
        <f t="shared" si="269"/>
        <v>5238.5600000000004</v>
      </c>
      <c r="AJ516" s="43">
        <f t="shared" si="270"/>
        <v>314313.60000000003</v>
      </c>
      <c r="AK516" s="44">
        <f>VLOOKUP(D516,[1]apoio_Preços_MGS!$A$6:$AN$238,39,FALSE)</f>
        <v>181.81818181818184</v>
      </c>
      <c r="AL516" s="44">
        <f>IF(J516="demais municípios",VLOOKUP(D516,[1]apoio_Preços_MGS!$A$6:$AN$238,39,FALSE),0)</f>
        <v>181.81818181818184</v>
      </c>
      <c r="AM516" s="44">
        <v>0</v>
      </c>
      <c r="AN516" s="45">
        <f t="shared" si="271"/>
        <v>181.81818181818184</v>
      </c>
      <c r="AO516" s="44">
        <f>VLOOKUP(D516,[1]apoio_Preços_MGS!$A$6:$AN$238,40,FALSE)</f>
        <v>546.91999999999996</v>
      </c>
      <c r="AP516" s="44">
        <f>IF(J516="demais municípios",VLOOKUP(D516,[1]apoio_Preços_MGS!$A$6:$AN$238,40,FALSE),0)</f>
        <v>546.91999999999996</v>
      </c>
      <c r="AQ516" s="44">
        <v>0</v>
      </c>
      <c r="AR516" s="45">
        <f t="shared" si="272"/>
        <v>546.91999999999996</v>
      </c>
      <c r="AS516" s="45">
        <f t="shared" si="255"/>
        <v>728.73818181818183</v>
      </c>
      <c r="AT516" s="45">
        <f t="shared" si="256"/>
        <v>43724.290909090909</v>
      </c>
      <c r="AU516" s="62"/>
      <c r="AV516" s="46"/>
      <c r="AW516" s="47"/>
      <c r="AX516" s="48"/>
      <c r="AY516" s="49"/>
      <c r="BA516" s="48"/>
    </row>
    <row r="517" spans="1:53" ht="19.5" customHeight="1" x14ac:dyDescent="0.25">
      <c r="A517" s="33" t="str">
        <f t="shared" si="253"/>
        <v>105651400,03</v>
      </c>
      <c r="B517" s="33" t="str">
        <f t="shared" si="254"/>
        <v>11820,03</v>
      </c>
      <c r="C517" s="34" t="str">
        <f>VLOOKUP(D517,[1]apoio_Preços_MGS!$A$6:$B$238,2,FALSE)</f>
        <v>PORTEIRO</v>
      </c>
      <c r="D517" s="35">
        <v>1182</v>
      </c>
      <c r="E517" s="33" t="str">
        <f>VLOOKUP(D517,[1]apoio_Preços_MGS!$A$6:$F$238,6,FALSE)</f>
        <v>PORTEIRO (SUBS. ABSENT.) - DIARISTA DIURNO - 40H</v>
      </c>
      <c r="F517" s="36">
        <f>IFERROR(VLOOKUP(D517,'[1]apoio_cód catmas'!$B$2:$C$863,2,FALSE),0)</f>
        <v>105651</v>
      </c>
      <c r="G517" s="33" t="str">
        <f>IF(H517="N/A",VLOOKUP(F517&amp;40,'[1]apoio_cód catmas'!$A$1:$G$233,4,FALSE),VLOOKUP(F517&amp;H517,'[1]apoio_cód catmas'!$A$1:$G$233,4,FALSE))</f>
        <v>PORTEIRO (COM SUBSTITUICA) - 30H, 36H, 40H OU 44H</v>
      </c>
      <c r="H517" s="36">
        <v>40</v>
      </c>
      <c r="I517" s="37">
        <v>0.03</v>
      </c>
      <c r="J517" s="38" t="s">
        <v>46</v>
      </c>
      <c r="K517" s="39">
        <v>22</v>
      </c>
      <c r="L517" s="39">
        <f t="shared" si="265"/>
        <v>1320</v>
      </c>
      <c r="M517" s="40">
        <f>VLOOKUP(D517,[1]apoio_Preços_MGS!$A$6:$AN$238,18,FALSE)</f>
        <v>2142.7371104179406</v>
      </c>
      <c r="N517" s="40">
        <f>VLOOKUP(D517,[1]apoio_Preços_MGS!$A$6:$AN$238,19,FALSE)</f>
        <v>0</v>
      </c>
      <c r="O517" s="40">
        <f>VLOOKUP(D517,[1]apoio_Preços_MGS!$A$6:$AN$238,20,FALSE)</f>
        <v>0</v>
      </c>
      <c r="P517" s="40">
        <f>VLOOKUP(D517,[1]apoio_Preços_MGS!$A$6:$AN$238,21,FALSE)</f>
        <v>0</v>
      </c>
      <c r="Q517" s="40">
        <f>VLOOKUP(D517,[1]apoio_Preços_MGS!$A$6:$AN$238,22,FALSE)</f>
        <v>0</v>
      </c>
      <c r="R517" s="40">
        <f>VLOOKUP(D517,[1]apoio_Preços_MGS!$A$6:$AN$238,23,FALSE)</f>
        <v>0</v>
      </c>
      <c r="S517" s="40">
        <f>VLOOKUP(D517,[1]apoio_Preços_MGS!$A$6:$AN$238,24,FALSE)</f>
        <v>0</v>
      </c>
      <c r="T517" s="40">
        <f>VLOOKUP(D517,[1]apoio_Preços_MGS!$A$6:$AN$238,25,FALSE)</f>
        <v>0</v>
      </c>
      <c r="U517" s="40">
        <f t="shared" si="247"/>
        <v>2142.7371104179406</v>
      </c>
      <c r="V517" s="41">
        <v>0.81799999999999995</v>
      </c>
      <c r="W517" s="40">
        <f t="shared" si="248"/>
        <v>1752.7589563218753</v>
      </c>
      <c r="X517" s="40">
        <f>VLOOKUP(D517,[1]apoio_Preços_MGS!$A$6:$AN$238,29,FALSE)</f>
        <v>52.672499999999992</v>
      </c>
      <c r="Y517" s="40">
        <f>VLOOKUP(D517,[1]apoio_Preços_MGS!$A$6:$AN$238,30,FALSE)</f>
        <v>1.721363914713578</v>
      </c>
      <c r="Z517" s="40">
        <f t="shared" si="266"/>
        <v>54.39386391471357</v>
      </c>
      <c r="AA517" s="40">
        <f>VLOOKUP(D517,[1]apoio_Preços_MGS!$A$6:$AN$238,32,FALSE)</f>
        <v>4.1140552520024452</v>
      </c>
      <c r="AB517" s="40">
        <f>VLOOKUP(D517,[1]apoio_Preços_MGS!$A$6:$AN$238,33,FALSE)</f>
        <v>121.58518892992969</v>
      </c>
      <c r="AC517" s="41">
        <f>VLOOKUP(D517,[1]apoio_Preços_MGS!$A$6:$AN$238,34,FALSE)</f>
        <v>4.314396214862351E-2</v>
      </c>
      <c r="AD517" s="40">
        <f>(U517+W517+Z517+AB517+AA517+VLOOKUP(C517,[1]apoio_Prec_Folha!$A:$S,7,FALSE))*AC517</f>
        <v>199.43361884501522</v>
      </c>
      <c r="AE517" s="42">
        <f>VLOOKUP(D517,[1]apoio_Preços_MGS!$A$6:$AN$238,36,FALSE)</f>
        <v>7.0000000000000007E-2</v>
      </c>
      <c r="AF517" s="40">
        <f>(U517+W517+Z517+AB517+AD517+AA517+VLOOKUP(C517,[1]apoio_Prec_Folha!$A:$S,7,FALSE))*AE517</f>
        <v>337.53641411440344</v>
      </c>
      <c r="AG517" s="40">
        <f t="shared" si="267"/>
        <v>4612.55</v>
      </c>
      <c r="AH517" s="43">
        <f t="shared" si="268"/>
        <v>5256.46</v>
      </c>
      <c r="AI517" s="43">
        <f t="shared" si="269"/>
        <v>115642.12</v>
      </c>
      <c r="AJ517" s="43">
        <f t="shared" si="270"/>
        <v>6938527.2000000002</v>
      </c>
      <c r="AK517" s="44">
        <f>VLOOKUP(D517,[1]apoio_Preços_MGS!$A$6:$AN$238,39,FALSE)</f>
        <v>181.81818181818184</v>
      </c>
      <c r="AL517" s="44">
        <f>IF(J517="demais municípios",VLOOKUP(D517,[1]apoio_Preços_MGS!$A$6:$AN$238,39,FALSE),0)</f>
        <v>181.81818181818184</v>
      </c>
      <c r="AM517" s="44">
        <v>0</v>
      </c>
      <c r="AN517" s="45">
        <f t="shared" si="271"/>
        <v>4000.0000000000005</v>
      </c>
      <c r="AO517" s="44">
        <f>VLOOKUP(D517,[1]apoio_Preços_MGS!$A$6:$AN$238,40,FALSE)</f>
        <v>546.91999999999996</v>
      </c>
      <c r="AP517" s="44">
        <f>IF(J517="demais municípios",VLOOKUP(D517,[1]apoio_Preços_MGS!$A$6:$AN$238,40,FALSE),0)</f>
        <v>546.91999999999996</v>
      </c>
      <c r="AQ517" s="44">
        <v>0</v>
      </c>
      <c r="AR517" s="45">
        <f t="shared" si="272"/>
        <v>12032.24</v>
      </c>
      <c r="AS517" s="45">
        <f t="shared" si="255"/>
        <v>16032.24</v>
      </c>
      <c r="AT517" s="45">
        <f t="shared" si="256"/>
        <v>961934.4</v>
      </c>
      <c r="AU517" s="62"/>
      <c r="AV517" s="46"/>
      <c r="AW517" s="47"/>
      <c r="AX517" s="48"/>
      <c r="AY517" s="49"/>
      <c r="BA517" s="48"/>
    </row>
    <row r="518" spans="1:53" ht="19.5" customHeight="1" x14ac:dyDescent="0.25">
      <c r="A518" s="33" t="str">
        <f t="shared" si="253"/>
        <v>105651400,038</v>
      </c>
      <c r="B518" s="33" t="str">
        <f t="shared" si="254"/>
        <v>11820,038</v>
      </c>
      <c r="C518" s="34" t="str">
        <f>VLOOKUP(D518,[1]apoio_Preços_MGS!$A$6:$B$238,2,FALSE)</f>
        <v>PORTEIRO</v>
      </c>
      <c r="D518" s="35">
        <v>1182</v>
      </c>
      <c r="E518" s="33" t="str">
        <f>VLOOKUP(D518,[1]apoio_Preços_MGS!$A$6:$F$238,6,FALSE)</f>
        <v>PORTEIRO (SUBS. ABSENT.) - DIARISTA DIURNO - 40H</v>
      </c>
      <c r="F518" s="36">
        <f>IFERROR(VLOOKUP(D518,'[1]apoio_cód catmas'!$B$2:$C$863,2,FALSE),0)</f>
        <v>105651</v>
      </c>
      <c r="G518" s="33" t="str">
        <f>IF(H518="N/A",VLOOKUP(F518&amp;40,'[1]apoio_cód catmas'!$A$1:$G$233,4,FALSE),VLOOKUP(F518&amp;H518,'[1]apoio_cód catmas'!$A$1:$G$233,4,FALSE))</f>
        <v>PORTEIRO (COM SUBSTITUICA) - 30H, 36H, 40H OU 44H</v>
      </c>
      <c r="H518" s="36">
        <v>40</v>
      </c>
      <c r="I518" s="37">
        <v>3.7999999999999999E-2</v>
      </c>
      <c r="J518" s="38" t="s">
        <v>46</v>
      </c>
      <c r="K518" s="39">
        <v>2</v>
      </c>
      <c r="L518" s="39">
        <f t="shared" si="265"/>
        <v>120</v>
      </c>
      <c r="M518" s="40">
        <f>VLOOKUP(D518,[1]apoio_Preços_MGS!$A$6:$AN$238,18,FALSE)</f>
        <v>2142.7371104179406</v>
      </c>
      <c r="N518" s="40">
        <f>VLOOKUP(D518,[1]apoio_Preços_MGS!$A$6:$AN$238,19,FALSE)</f>
        <v>0</v>
      </c>
      <c r="O518" s="40">
        <f>VLOOKUP(D518,[1]apoio_Preços_MGS!$A$6:$AN$238,20,FALSE)</f>
        <v>0</v>
      </c>
      <c r="P518" s="40">
        <f>VLOOKUP(D518,[1]apoio_Preços_MGS!$A$6:$AN$238,21,FALSE)</f>
        <v>0</v>
      </c>
      <c r="Q518" s="40">
        <f>VLOOKUP(D518,[1]apoio_Preços_MGS!$A$6:$AN$238,22,FALSE)</f>
        <v>0</v>
      </c>
      <c r="R518" s="40">
        <f>VLOOKUP(D518,[1]apoio_Preços_MGS!$A$6:$AN$238,23,FALSE)</f>
        <v>0</v>
      </c>
      <c r="S518" s="40">
        <f>VLOOKUP(D518,[1]apoio_Preços_MGS!$A$6:$AN$238,24,FALSE)</f>
        <v>0</v>
      </c>
      <c r="T518" s="40">
        <f>VLOOKUP(D518,[1]apoio_Preços_MGS!$A$6:$AN$238,25,FALSE)</f>
        <v>0</v>
      </c>
      <c r="U518" s="40">
        <f t="shared" si="247"/>
        <v>2142.7371104179406</v>
      </c>
      <c r="V518" s="41">
        <v>0.81799999999999995</v>
      </c>
      <c r="W518" s="40">
        <f t="shared" si="248"/>
        <v>1752.7589563218753</v>
      </c>
      <c r="X518" s="40">
        <f>VLOOKUP(D518,[1]apoio_Preços_MGS!$A$6:$AN$238,29,FALSE)</f>
        <v>52.672499999999992</v>
      </c>
      <c r="Y518" s="40">
        <f>VLOOKUP(D518,[1]apoio_Preços_MGS!$A$6:$AN$238,30,FALSE)</f>
        <v>1.721363914713578</v>
      </c>
      <c r="Z518" s="40">
        <f t="shared" si="266"/>
        <v>54.39386391471357</v>
      </c>
      <c r="AA518" s="40">
        <f>VLOOKUP(D518,[1]apoio_Preços_MGS!$A$6:$AN$238,32,FALSE)</f>
        <v>4.1140552520024452</v>
      </c>
      <c r="AB518" s="40">
        <f>VLOOKUP(D518,[1]apoio_Preços_MGS!$A$6:$AN$238,33,FALSE)</f>
        <v>121.58518892992969</v>
      </c>
      <c r="AC518" s="41">
        <f>VLOOKUP(D518,[1]apoio_Preços_MGS!$A$6:$AN$238,34,FALSE)</f>
        <v>4.314396214862351E-2</v>
      </c>
      <c r="AD518" s="40">
        <f>(U518+W518+Z518+AB518+AA518+VLOOKUP(C518,[1]apoio_Prec_Folha!$A:$S,7,FALSE))*AC518</f>
        <v>199.43361884501522</v>
      </c>
      <c r="AE518" s="42">
        <f>VLOOKUP(D518,[1]apoio_Preços_MGS!$A$6:$AN$238,36,FALSE)</f>
        <v>7.0000000000000007E-2</v>
      </c>
      <c r="AF518" s="40">
        <f>(U518+W518+Z518+AB518+AD518+AA518+VLOOKUP(C518,[1]apoio_Prec_Folha!$A:$S,7,FALSE))*AE518</f>
        <v>337.53641411440344</v>
      </c>
      <c r="AG518" s="40">
        <f t="shared" si="267"/>
        <v>4612.55</v>
      </c>
      <c r="AH518" s="43">
        <f t="shared" si="268"/>
        <v>5304.84</v>
      </c>
      <c r="AI518" s="43">
        <f t="shared" si="269"/>
        <v>10609.68</v>
      </c>
      <c r="AJ518" s="43">
        <f t="shared" si="270"/>
        <v>636580.80000000005</v>
      </c>
      <c r="AK518" s="44">
        <f>VLOOKUP(D518,[1]apoio_Preços_MGS!$A$6:$AN$238,39,FALSE)</f>
        <v>181.81818181818184</v>
      </c>
      <c r="AL518" s="44">
        <f>IF(J518="demais municípios",VLOOKUP(D518,[1]apoio_Preços_MGS!$A$6:$AN$238,39,FALSE),0)</f>
        <v>181.81818181818184</v>
      </c>
      <c r="AM518" s="44">
        <v>0</v>
      </c>
      <c r="AN518" s="45">
        <f t="shared" si="271"/>
        <v>363.63636363636368</v>
      </c>
      <c r="AO518" s="44">
        <f>VLOOKUP(D518,[1]apoio_Preços_MGS!$A$6:$AN$238,40,FALSE)</f>
        <v>546.91999999999996</v>
      </c>
      <c r="AP518" s="44">
        <f>IF(J518="demais municípios",VLOOKUP(D518,[1]apoio_Preços_MGS!$A$6:$AN$238,40,FALSE),0)</f>
        <v>546.91999999999996</v>
      </c>
      <c r="AQ518" s="44">
        <v>0</v>
      </c>
      <c r="AR518" s="45">
        <f t="shared" si="272"/>
        <v>1093.8399999999999</v>
      </c>
      <c r="AS518" s="45">
        <f t="shared" si="255"/>
        <v>1457.4763636363637</v>
      </c>
      <c r="AT518" s="45">
        <f t="shared" si="256"/>
        <v>87448.581818181818</v>
      </c>
      <c r="AU518" s="62"/>
      <c r="AV518" s="46"/>
      <c r="AW518" s="47"/>
      <c r="AX518" s="48"/>
      <c r="AY518" s="49"/>
      <c r="BA518" s="48"/>
    </row>
    <row r="519" spans="1:53" ht="19.5" customHeight="1" x14ac:dyDescent="0.25">
      <c r="A519" s="33" t="str">
        <f t="shared" si="253"/>
        <v>105651400,04</v>
      </c>
      <c r="B519" s="33" t="str">
        <f t="shared" si="254"/>
        <v>11820,04</v>
      </c>
      <c r="C519" s="34" t="str">
        <f>VLOOKUP(D519,[1]apoio_Preços_MGS!$A$6:$B$238,2,FALSE)</f>
        <v>PORTEIRO</v>
      </c>
      <c r="D519" s="35">
        <v>1182</v>
      </c>
      <c r="E519" s="33" t="str">
        <f>VLOOKUP(D519,[1]apoio_Preços_MGS!$A$6:$F$238,6,FALSE)</f>
        <v>PORTEIRO (SUBS. ABSENT.) - DIARISTA DIURNO - 40H</v>
      </c>
      <c r="F519" s="36">
        <f>IFERROR(VLOOKUP(D519,'[1]apoio_cód catmas'!$B$2:$C$863,2,FALSE),0)</f>
        <v>105651</v>
      </c>
      <c r="G519" s="33" t="str">
        <f>IF(H519="N/A",VLOOKUP(F519&amp;40,'[1]apoio_cód catmas'!$A$1:$G$233,4,FALSE),VLOOKUP(F519&amp;H519,'[1]apoio_cód catmas'!$A$1:$G$233,4,FALSE))</f>
        <v>PORTEIRO (COM SUBSTITUICA) - 30H, 36H, 40H OU 44H</v>
      </c>
      <c r="H519" s="36">
        <v>40</v>
      </c>
      <c r="I519" s="37">
        <v>0.04</v>
      </c>
      <c r="J519" s="38" t="s">
        <v>46</v>
      </c>
      <c r="K519" s="39">
        <v>7</v>
      </c>
      <c r="L519" s="39">
        <f t="shared" si="265"/>
        <v>420</v>
      </c>
      <c r="M519" s="40">
        <f>VLOOKUP(D519,[1]apoio_Preços_MGS!$A$6:$AN$238,18,FALSE)</f>
        <v>2142.7371104179406</v>
      </c>
      <c r="N519" s="40">
        <f>VLOOKUP(D519,[1]apoio_Preços_MGS!$A$6:$AN$238,19,FALSE)</f>
        <v>0</v>
      </c>
      <c r="O519" s="40">
        <f>VLOOKUP(D519,[1]apoio_Preços_MGS!$A$6:$AN$238,20,FALSE)</f>
        <v>0</v>
      </c>
      <c r="P519" s="40">
        <f>VLOOKUP(D519,[1]apoio_Preços_MGS!$A$6:$AN$238,21,FALSE)</f>
        <v>0</v>
      </c>
      <c r="Q519" s="40">
        <f>VLOOKUP(D519,[1]apoio_Preços_MGS!$A$6:$AN$238,22,FALSE)</f>
        <v>0</v>
      </c>
      <c r="R519" s="40">
        <f>VLOOKUP(D519,[1]apoio_Preços_MGS!$A$6:$AN$238,23,FALSE)</f>
        <v>0</v>
      </c>
      <c r="S519" s="40">
        <f>VLOOKUP(D519,[1]apoio_Preços_MGS!$A$6:$AN$238,24,FALSE)</f>
        <v>0</v>
      </c>
      <c r="T519" s="40">
        <f>VLOOKUP(D519,[1]apoio_Preços_MGS!$A$6:$AN$238,25,FALSE)</f>
        <v>0</v>
      </c>
      <c r="U519" s="40">
        <f t="shared" si="247"/>
        <v>2142.7371104179406</v>
      </c>
      <c r="V519" s="41">
        <f>VLOOKUP(D519,[1]apoio_Preços_MGS!$A$6:$AN$238,27,FALSE)</f>
        <v>0.81799999999999995</v>
      </c>
      <c r="W519" s="40">
        <f t="shared" si="248"/>
        <v>1752.7589563218753</v>
      </c>
      <c r="X519" s="40">
        <f>VLOOKUP(D519,[1]apoio_Preços_MGS!$A$6:$AN$238,29,FALSE)</f>
        <v>52.672499999999992</v>
      </c>
      <c r="Y519" s="40">
        <f>VLOOKUP(D519,[1]apoio_Preços_MGS!$A$6:$AN$238,30,FALSE)</f>
        <v>1.721363914713578</v>
      </c>
      <c r="Z519" s="40">
        <f t="shared" si="266"/>
        <v>54.39386391471357</v>
      </c>
      <c r="AA519" s="40">
        <f>VLOOKUP(D519,[1]apoio_Preços_MGS!$A$6:$AN$238,32,FALSE)</f>
        <v>4.1140552520024452</v>
      </c>
      <c r="AB519" s="40">
        <f>VLOOKUP(D519,[1]apoio_Preços_MGS!$A$6:$AN$238,33,FALSE)</f>
        <v>121.58518892992969</v>
      </c>
      <c r="AC519" s="41">
        <f>VLOOKUP(D519,[1]apoio_Preços_MGS!$A$6:$AN$238,34,FALSE)</f>
        <v>4.314396214862351E-2</v>
      </c>
      <c r="AD519" s="40">
        <f>(U519+W519+Z519+AB519+AA519+VLOOKUP(C519,[1]apoio_Prec_Folha!$A:$S,7,FALSE))*AC519</f>
        <v>199.43361884501522</v>
      </c>
      <c r="AE519" s="42">
        <f>VLOOKUP(D519,[1]apoio_Preços_MGS!$A$6:$AN$238,36,FALSE)</f>
        <v>7.0000000000000007E-2</v>
      </c>
      <c r="AF519" s="40">
        <f>(U519+W519+Z519+AB519+AD519+AA519+VLOOKUP(C519,[1]apoio_Prec_Folha!$A:$S,7,FALSE))*AE519</f>
        <v>337.53641411440344</v>
      </c>
      <c r="AG519" s="40">
        <f t="shared" si="267"/>
        <v>4612.55</v>
      </c>
      <c r="AH519" s="43">
        <f t="shared" si="268"/>
        <v>5317.07</v>
      </c>
      <c r="AI519" s="43">
        <f t="shared" si="269"/>
        <v>37219.49</v>
      </c>
      <c r="AJ519" s="43">
        <f t="shared" si="270"/>
        <v>2233169.4</v>
      </c>
      <c r="AK519" s="44">
        <f>VLOOKUP(D519,[1]apoio_Preços_MGS!$A$6:$AN$238,39,FALSE)</f>
        <v>181.81818181818184</v>
      </c>
      <c r="AL519" s="44">
        <f>IF(J519="demais municípios",VLOOKUP(D519,[1]apoio_Preços_MGS!$A$6:$AN$238,39,FALSE),0)</f>
        <v>181.81818181818184</v>
      </c>
      <c r="AM519" s="44">
        <v>0</v>
      </c>
      <c r="AN519" s="45">
        <f t="shared" si="271"/>
        <v>1272.727272727273</v>
      </c>
      <c r="AO519" s="44">
        <f>VLOOKUP(D519,[1]apoio_Preços_MGS!$A$6:$AN$238,40,FALSE)</f>
        <v>546.91999999999996</v>
      </c>
      <c r="AP519" s="44">
        <f>IF(J519="demais municípios",VLOOKUP(D519,[1]apoio_Preços_MGS!$A$6:$AN$238,40,FALSE),0)</f>
        <v>546.91999999999996</v>
      </c>
      <c r="AQ519" s="44">
        <v>0</v>
      </c>
      <c r="AR519" s="45">
        <f t="shared" si="272"/>
        <v>3828.4399999999996</v>
      </c>
      <c r="AS519" s="45">
        <f t="shared" si="255"/>
        <v>5101.1672727272726</v>
      </c>
      <c r="AT519" s="45">
        <f t="shared" si="256"/>
        <v>306070.03636363638</v>
      </c>
      <c r="AU519" s="62"/>
      <c r="AV519" s="46"/>
      <c r="AW519" s="47"/>
      <c r="AX519" s="48"/>
      <c r="AY519" s="49"/>
      <c r="BA519" s="48"/>
    </row>
    <row r="520" spans="1:53" ht="19.5" customHeight="1" x14ac:dyDescent="0.25">
      <c r="A520" s="33" t="str">
        <f t="shared" si="253"/>
        <v>105651400,05</v>
      </c>
      <c r="B520" s="33" t="str">
        <f t="shared" si="254"/>
        <v>11820,05</v>
      </c>
      <c r="C520" s="34" t="str">
        <f>VLOOKUP(D520,[1]apoio_Preços_MGS!$A$6:$B$238,2,FALSE)</f>
        <v>PORTEIRO</v>
      </c>
      <c r="D520" s="35">
        <v>1182</v>
      </c>
      <c r="E520" s="33" t="str">
        <f>VLOOKUP(D520,[1]apoio_Preços_MGS!$A$6:$F$238,6,FALSE)</f>
        <v>PORTEIRO (SUBS. ABSENT.) - DIARISTA DIURNO - 40H</v>
      </c>
      <c r="F520" s="36">
        <f>IFERROR(VLOOKUP(D520,'[1]apoio_cód catmas'!$B$2:$C$863,2,FALSE),0)</f>
        <v>105651</v>
      </c>
      <c r="G520" s="33" t="str">
        <f>IF(H520="N/A",VLOOKUP(F520&amp;40,'[1]apoio_cód catmas'!$A$1:$G$233,4,FALSE),VLOOKUP(F520&amp;H520,'[1]apoio_cód catmas'!$A$1:$G$233,4,FALSE))</f>
        <v>PORTEIRO (COM SUBSTITUICA) - 30H, 36H, 40H OU 44H</v>
      </c>
      <c r="H520" s="36">
        <v>40</v>
      </c>
      <c r="I520" s="37">
        <v>0.05</v>
      </c>
      <c r="J520" s="38" t="s">
        <v>46</v>
      </c>
      <c r="K520" s="39">
        <f>35-K521</f>
        <v>3</v>
      </c>
      <c r="L520" s="39">
        <f t="shared" si="265"/>
        <v>180</v>
      </c>
      <c r="M520" s="40">
        <f>VLOOKUP(D520,[1]apoio_Preços_MGS!$A$6:$AN$238,18,FALSE)</f>
        <v>2142.7371104179406</v>
      </c>
      <c r="N520" s="40">
        <f>VLOOKUP(D520,[1]apoio_Preços_MGS!$A$6:$AN$238,19,FALSE)</f>
        <v>0</v>
      </c>
      <c r="O520" s="40">
        <f>VLOOKUP(D520,[1]apoio_Preços_MGS!$A$6:$AN$238,20,FALSE)</f>
        <v>0</v>
      </c>
      <c r="P520" s="40">
        <f>VLOOKUP(D520,[1]apoio_Preços_MGS!$A$6:$AN$238,21,FALSE)</f>
        <v>0</v>
      </c>
      <c r="Q520" s="40">
        <f>VLOOKUP(D520,[1]apoio_Preços_MGS!$A$6:$AN$238,22,FALSE)</f>
        <v>0</v>
      </c>
      <c r="R520" s="40">
        <f>VLOOKUP(D520,[1]apoio_Preços_MGS!$A$6:$AN$238,23,FALSE)</f>
        <v>0</v>
      </c>
      <c r="S520" s="40">
        <f>VLOOKUP(D520,[1]apoio_Preços_MGS!$A$6:$AN$238,24,FALSE)</f>
        <v>0</v>
      </c>
      <c r="T520" s="40">
        <f>VLOOKUP(D520,[1]apoio_Preços_MGS!$A$6:$AN$238,25,FALSE)</f>
        <v>0</v>
      </c>
      <c r="U520" s="40">
        <f t="shared" si="247"/>
        <v>2142.7371104179406</v>
      </c>
      <c r="V520" s="41">
        <f>VLOOKUP(D520,[1]apoio_Preços_MGS!$A$6:$AN$238,27,FALSE)</f>
        <v>0.81799999999999995</v>
      </c>
      <c r="W520" s="40">
        <f t="shared" si="248"/>
        <v>1752.7589563218753</v>
      </c>
      <c r="X520" s="40">
        <f>VLOOKUP(D520,[1]apoio_Preços_MGS!$A$6:$AN$238,29,FALSE)</f>
        <v>52.672499999999992</v>
      </c>
      <c r="Y520" s="40">
        <f>VLOOKUP(D520,[1]apoio_Preços_MGS!$A$6:$AN$238,30,FALSE)</f>
        <v>1.721363914713578</v>
      </c>
      <c r="Z520" s="40">
        <f t="shared" si="266"/>
        <v>54.39386391471357</v>
      </c>
      <c r="AA520" s="40">
        <f>VLOOKUP(D520,[1]apoio_Preços_MGS!$A$6:$AN$238,32,FALSE)</f>
        <v>4.1140552520024452</v>
      </c>
      <c r="AB520" s="40">
        <f>VLOOKUP(D520,[1]apoio_Preços_MGS!$A$6:$AN$238,33,FALSE)</f>
        <v>121.58518892992969</v>
      </c>
      <c r="AC520" s="41">
        <f>VLOOKUP(D520,[1]apoio_Preços_MGS!$A$6:$AN$238,34,FALSE)</f>
        <v>4.314396214862351E-2</v>
      </c>
      <c r="AD520" s="40">
        <f>(U520+W520+Z520+AB520+AA520+VLOOKUP(C520,[1]apoio_Prec_Folha!$A:$S,7,FALSE))*AC520</f>
        <v>199.43361884501522</v>
      </c>
      <c r="AE520" s="42">
        <f>VLOOKUP(D520,[1]apoio_Preços_MGS!$A$6:$AN$238,36,FALSE)</f>
        <v>7.0000000000000007E-2</v>
      </c>
      <c r="AF520" s="40">
        <f>(U520+W520+Z520+AB520+AD520+AA520+VLOOKUP(C520,[1]apoio_Prec_Folha!$A:$S,7,FALSE))*AE520</f>
        <v>337.53641411440344</v>
      </c>
      <c r="AG520" s="40">
        <f t="shared" si="267"/>
        <v>4612.55</v>
      </c>
      <c r="AH520" s="43">
        <f t="shared" si="268"/>
        <v>5379.06</v>
      </c>
      <c r="AI520" s="43">
        <f t="shared" si="269"/>
        <v>16137.18</v>
      </c>
      <c r="AJ520" s="43">
        <f t="shared" si="270"/>
        <v>968230.8</v>
      </c>
      <c r="AK520" s="44">
        <f>VLOOKUP(D520,[1]apoio_Preços_MGS!$A$6:$AN$238,39,FALSE)</f>
        <v>181.81818181818184</v>
      </c>
      <c r="AL520" s="44">
        <f>IF(J520="demais municípios",VLOOKUP(D520,[1]apoio_Preços_MGS!$A$6:$AN$238,39,FALSE),0)</f>
        <v>181.81818181818184</v>
      </c>
      <c r="AM520" s="44">
        <v>0</v>
      </c>
      <c r="AN520" s="45">
        <f t="shared" si="271"/>
        <v>545.4545454545455</v>
      </c>
      <c r="AO520" s="44">
        <f>VLOOKUP(D520,[1]apoio_Preços_MGS!$A$6:$AN$238,40,FALSE)</f>
        <v>546.91999999999996</v>
      </c>
      <c r="AP520" s="44">
        <f>IF(J520="demais municípios",VLOOKUP(D520,[1]apoio_Preços_MGS!$A$6:$AN$238,40,FALSE),0)</f>
        <v>546.91999999999996</v>
      </c>
      <c r="AQ520" s="44">
        <v>0</v>
      </c>
      <c r="AR520" s="45">
        <f t="shared" si="272"/>
        <v>1640.7599999999998</v>
      </c>
      <c r="AS520" s="45">
        <f t="shared" si="255"/>
        <v>2186.2145454545453</v>
      </c>
      <c r="AT520" s="45">
        <f t="shared" si="256"/>
        <v>131172.87272727271</v>
      </c>
      <c r="AU520" s="62"/>
      <c r="AV520" s="46"/>
      <c r="AW520" s="47"/>
      <c r="AX520" s="48"/>
      <c r="AY520" s="49"/>
      <c r="BA520" s="48"/>
    </row>
    <row r="521" spans="1:53" ht="19.5" customHeight="1" x14ac:dyDescent="0.25">
      <c r="A521" s="33" t="str">
        <f t="shared" si="253"/>
        <v>105651400,05</v>
      </c>
      <c r="B521" s="33" t="str">
        <f t="shared" si="254"/>
        <v>11820,05</v>
      </c>
      <c r="C521" s="34" t="str">
        <f>VLOOKUP(D521,[1]apoio_Preços_MGS!$A$6:$B$238,2,FALSE)</f>
        <v>PORTEIRO</v>
      </c>
      <c r="D521" s="35">
        <v>1182</v>
      </c>
      <c r="E521" s="33" t="str">
        <f>VLOOKUP(D521,[1]apoio_Preços_MGS!$A$6:$F$238,6,FALSE)</f>
        <v>PORTEIRO (SUBS. ABSENT.) - DIARISTA DIURNO - 40H</v>
      </c>
      <c r="F521" s="36">
        <f>IFERROR(VLOOKUP(D521,'[1]apoio_cód catmas'!$B$2:$C$863,2,FALSE),0)</f>
        <v>105651</v>
      </c>
      <c r="G521" s="33" t="str">
        <f>IF(H521="N/A",VLOOKUP(F521&amp;40,'[1]apoio_cód catmas'!$A$1:$G$233,4,FALSE),VLOOKUP(F521&amp;H521,'[1]apoio_cód catmas'!$A$1:$G$233,4,FALSE))</f>
        <v>PORTEIRO (COM SUBSTITUICA) - 30H, 36H, 40H OU 44H</v>
      </c>
      <c r="H521" s="36">
        <v>40</v>
      </c>
      <c r="I521" s="37">
        <v>0.05</v>
      </c>
      <c r="J521" s="38" t="s">
        <v>47</v>
      </c>
      <c r="K521" s="39">
        <v>32</v>
      </c>
      <c r="L521" s="39">
        <f t="shared" si="265"/>
        <v>1920</v>
      </c>
      <c r="M521" s="40">
        <f>VLOOKUP(D521,[1]apoio_Preços_MGS!$A$6:$AN$238,18,FALSE)</f>
        <v>2142.7371104179406</v>
      </c>
      <c r="N521" s="40">
        <f>VLOOKUP(D521,[1]apoio_Preços_MGS!$A$6:$AN$238,19,FALSE)</f>
        <v>0</v>
      </c>
      <c r="O521" s="40">
        <f>VLOOKUP(D521,[1]apoio_Preços_MGS!$A$6:$AN$238,20,FALSE)</f>
        <v>0</v>
      </c>
      <c r="P521" s="40">
        <f>VLOOKUP(D521,[1]apoio_Preços_MGS!$A$6:$AN$238,21,FALSE)</f>
        <v>0</v>
      </c>
      <c r="Q521" s="40">
        <f>VLOOKUP(D521,[1]apoio_Preços_MGS!$A$6:$AN$238,22,FALSE)</f>
        <v>0</v>
      </c>
      <c r="R521" s="40">
        <f>VLOOKUP(D521,[1]apoio_Preços_MGS!$A$6:$AN$238,23,FALSE)</f>
        <v>0</v>
      </c>
      <c r="S521" s="40">
        <f>VLOOKUP(D521,[1]apoio_Preços_MGS!$A$6:$AN$238,24,FALSE)</f>
        <v>0</v>
      </c>
      <c r="T521" s="40">
        <f>VLOOKUP(D521,[1]apoio_Preços_MGS!$A$6:$AN$238,25,FALSE)</f>
        <v>0</v>
      </c>
      <c r="U521" s="40">
        <f t="shared" ref="U521:U584" si="273">SUM(M521:T521)</f>
        <v>2142.7371104179406</v>
      </c>
      <c r="V521" s="41">
        <f>VLOOKUP(D521,[1]apoio_Preços_MGS!$A$6:$AN$238,27,FALSE)</f>
        <v>0.81799999999999995</v>
      </c>
      <c r="W521" s="40">
        <f t="shared" ref="W521:W584" si="274">U521*V521</f>
        <v>1752.7589563218753</v>
      </c>
      <c r="X521" s="40">
        <f>VLOOKUP(D521,[1]apoio_Preços_MGS!$A$6:$AN$238,29,FALSE)</f>
        <v>52.672499999999992</v>
      </c>
      <c r="Y521" s="40">
        <f>VLOOKUP(D521,[1]apoio_Preços_MGS!$A$6:$AN$238,30,FALSE)</f>
        <v>1.721363914713578</v>
      </c>
      <c r="Z521" s="40">
        <f t="shared" si="266"/>
        <v>54.39386391471357</v>
      </c>
      <c r="AA521" s="40">
        <f>VLOOKUP(D521,[1]apoio_Preços_MGS!$A$6:$AN$238,32,FALSE)</f>
        <v>4.1140552520024452</v>
      </c>
      <c r="AB521" s="40">
        <f>VLOOKUP(D521,[1]apoio_Preços_MGS!$A$6:$AN$238,33,FALSE)</f>
        <v>121.58518892992969</v>
      </c>
      <c r="AC521" s="41">
        <f>VLOOKUP(D521,[1]apoio_Preços_MGS!$A$6:$AN$238,34,FALSE)</f>
        <v>4.314396214862351E-2</v>
      </c>
      <c r="AD521" s="40">
        <f>(U521+W521+Z521+AB521+AA521+VLOOKUP(C521,[1]apoio_Prec_Folha!$A:$S,7,FALSE))*AC521</f>
        <v>199.43361884501522</v>
      </c>
      <c r="AE521" s="42">
        <f>VLOOKUP(D521,[1]apoio_Preços_MGS!$A$6:$AN$238,36,FALSE)</f>
        <v>7.0000000000000007E-2</v>
      </c>
      <c r="AF521" s="40">
        <f>(U521+W521+Z521+AB521+AD521+AA521+VLOOKUP(C521,[1]apoio_Prec_Folha!$A:$S,7,FALSE))*AE521</f>
        <v>337.53641411440344</v>
      </c>
      <c r="AG521" s="40">
        <f t="shared" si="267"/>
        <v>4612.55</v>
      </c>
      <c r="AH521" s="43">
        <f t="shared" si="268"/>
        <v>5379.06</v>
      </c>
      <c r="AI521" s="43">
        <f t="shared" si="269"/>
        <v>172129.92000000001</v>
      </c>
      <c r="AJ521" s="43">
        <f t="shared" si="270"/>
        <v>10327795.200000001</v>
      </c>
      <c r="AK521" s="44">
        <f>VLOOKUP(D521,[1]apoio_Preços_MGS!$A$6:$AN$238,39,FALSE)</f>
        <v>181.81818181818184</v>
      </c>
      <c r="AL521" s="44">
        <f>IF(J521="demais municípios",VLOOKUP(D521,[1]apoio_Preços_MGS!$A$6:$AN$238,39,FALSE),0)</f>
        <v>0</v>
      </c>
      <c r="AM521" s="44">
        <f>TRUNC(ROUND(($I521)/(1-($I521)),5)*VLOOKUP(D521,[1]apoio_Preços_MGS!$A$6:$AN$238,39,FALSE)+VLOOKUP(D521,[1]apoio_Preços_MGS!$A$6:$AN$238,39,FALSE),2)</f>
        <v>191.38</v>
      </c>
      <c r="AN521" s="45">
        <f t="shared" si="257"/>
        <v>6124.16</v>
      </c>
      <c r="AO521" s="44">
        <f>VLOOKUP(D521,[1]apoio_Preços_MGS!$A$6:$AN$238,40,FALSE)</f>
        <v>546.91999999999996</v>
      </c>
      <c r="AP521" s="44">
        <f>IF(J521="demais municípios",VLOOKUP(D521,[1]apoio_Preços_MGS!$A$6:$AN$238,40,FALSE),0)</f>
        <v>0</v>
      </c>
      <c r="AQ521" s="44">
        <f>TRUNC(ROUND(($I521)/(1-($I521)),5)*VLOOKUP(D521,[1]apoio_Preços_MGS!$A$6:$AN$238,40,FALSE)+VLOOKUP(D521,[1]apoio_Preços_MGS!$A$6:$AN$238,40,FALSE),2)</f>
        <v>575.70000000000005</v>
      </c>
      <c r="AR521" s="45">
        <f t="shared" si="258"/>
        <v>18422.400000000001</v>
      </c>
      <c r="AS521" s="45">
        <f t="shared" si="255"/>
        <v>24546.560000000001</v>
      </c>
      <c r="AT521" s="45">
        <f t="shared" si="256"/>
        <v>1472793.6000000001</v>
      </c>
      <c r="AU521" s="62"/>
      <c r="AV521" s="46"/>
      <c r="AW521" s="47"/>
      <c r="AX521" s="48"/>
      <c r="AY521" s="49"/>
      <c r="BA521" s="48"/>
    </row>
    <row r="522" spans="1:53" ht="19.5" customHeight="1" x14ac:dyDescent="0.25">
      <c r="A522" s="33" t="str">
        <f t="shared" si="253"/>
        <v>105651440,02</v>
      </c>
      <c r="B522" s="33" t="str">
        <f t="shared" si="254"/>
        <v>11830,02</v>
      </c>
      <c r="C522" s="34" t="str">
        <f>VLOOKUP(D522,[1]apoio_Preços_MGS!$A$6:$B$238,2,FALSE)</f>
        <v>PORTEIRO</v>
      </c>
      <c r="D522" s="35">
        <v>1183</v>
      </c>
      <c r="E522" s="33" t="str">
        <f>VLOOKUP(D522,[1]apoio_Preços_MGS!$A$6:$F$238,6,FALSE)</f>
        <v>PORTEIRO (SUBS. ABSENT.) - DIARISTA DIURNO - 44H</v>
      </c>
      <c r="F522" s="36">
        <f>IFERROR(VLOOKUP(D522,'[1]apoio_cód catmas'!$B$2:$C$863,2,FALSE),0)</f>
        <v>105651</v>
      </c>
      <c r="G522" s="33" t="str">
        <f>IF(H522="N/A",VLOOKUP(F522&amp;40,'[1]apoio_cód catmas'!$A$1:$G$233,4,FALSE),VLOOKUP(F522&amp;H522,'[1]apoio_cód catmas'!$A$1:$G$233,4,FALSE))</f>
        <v>PORTEIRO (COM SUBSTITUICA) - 30H, 36H, 40H OU 44H</v>
      </c>
      <c r="H522" s="36">
        <v>44</v>
      </c>
      <c r="I522" s="37">
        <v>0.02</v>
      </c>
      <c r="J522" s="38" t="s">
        <v>46</v>
      </c>
      <c r="K522" s="39">
        <v>13</v>
      </c>
      <c r="L522" s="39">
        <f t="shared" si="265"/>
        <v>780</v>
      </c>
      <c r="M522" s="40">
        <f>VLOOKUP(D522,[1]apoio_Preços_MGS!$A$6:$AN$238,18,FALSE)</f>
        <v>2357.0108214597344</v>
      </c>
      <c r="N522" s="40">
        <f>VLOOKUP(D522,[1]apoio_Preços_MGS!$A$6:$AN$238,19,FALSE)</f>
        <v>0</v>
      </c>
      <c r="O522" s="40">
        <f>VLOOKUP(D522,[1]apoio_Preços_MGS!$A$6:$AN$238,20,FALSE)</f>
        <v>0</v>
      </c>
      <c r="P522" s="40">
        <f>VLOOKUP(D522,[1]apoio_Preços_MGS!$A$6:$AN$238,21,FALSE)</f>
        <v>0</v>
      </c>
      <c r="Q522" s="40">
        <f>VLOOKUP(D522,[1]apoio_Preços_MGS!$A$6:$AN$238,22,FALSE)</f>
        <v>0</v>
      </c>
      <c r="R522" s="40">
        <f>VLOOKUP(D522,[1]apoio_Preços_MGS!$A$6:$AN$238,23,FALSE)</f>
        <v>0</v>
      </c>
      <c r="S522" s="40">
        <f>VLOOKUP(D522,[1]apoio_Preços_MGS!$A$6:$AN$238,24,FALSE)</f>
        <v>0</v>
      </c>
      <c r="T522" s="40">
        <f>VLOOKUP(D522,[1]apoio_Preços_MGS!$A$6:$AN$238,25,FALSE)</f>
        <v>0</v>
      </c>
      <c r="U522" s="40">
        <f t="shared" si="273"/>
        <v>2357.0108214597344</v>
      </c>
      <c r="V522" s="41">
        <f>VLOOKUP(D522,[1]apoio_Preços_MGS!$A$6:$AN$238,27,FALSE)</f>
        <v>0.81799999999999995</v>
      </c>
      <c r="W522" s="40">
        <f t="shared" si="274"/>
        <v>1928.0348519540626</v>
      </c>
      <c r="X522" s="40">
        <f>VLOOKUP(D522,[1]apoio_Preços_MGS!$A$6:$AN$238,29,FALSE)</f>
        <v>52.672499999999992</v>
      </c>
      <c r="Y522" s="40">
        <f>VLOOKUP(D522,[1]apoio_Preços_MGS!$A$6:$AN$238,30,FALSE)</f>
        <v>1.721363914713578</v>
      </c>
      <c r="Z522" s="40">
        <f t="shared" si="266"/>
        <v>54.39386391471357</v>
      </c>
      <c r="AA522" s="40">
        <f>VLOOKUP(D522,[1]apoio_Preços_MGS!$A$6:$AN$238,32,FALSE)</f>
        <v>4.5254607772026896</v>
      </c>
      <c r="AB522" s="40">
        <f>VLOOKUP(D522,[1]apoio_Preços_MGS!$A$6:$AN$238,33,FALSE)</f>
        <v>114.60128756822279</v>
      </c>
      <c r="AC522" s="41">
        <f>VLOOKUP(D522,[1]apoio_Preços_MGS!$A$6:$AN$238,34,FALSE)</f>
        <v>4.314396214862351E-2</v>
      </c>
      <c r="AD522" s="40">
        <f>(U522+W522+Z522+AB522+AA522+VLOOKUP(C522,[1]apoio_Prec_Folha!$A:$S,7,FALSE))*AC522</f>
        <v>215.95676881877645</v>
      </c>
      <c r="AE522" s="42">
        <f>VLOOKUP(D522,[1]apoio_Preços_MGS!$A$6:$AN$238,36,FALSE)</f>
        <v>7.0000000000000007E-2</v>
      </c>
      <c r="AF522" s="40">
        <f>(U522+W522+Z522+AB522+AD522+AA522+VLOOKUP(C522,[1]apoio_Prec_Folha!$A:$S,7,FALSE))*AE522</f>
        <v>365.50143237118994</v>
      </c>
      <c r="AG522" s="40">
        <f t="shared" si="267"/>
        <v>5040.0200000000004</v>
      </c>
      <c r="AH522" s="43">
        <f t="shared" si="268"/>
        <v>5678.89</v>
      </c>
      <c r="AI522" s="43">
        <f t="shared" si="269"/>
        <v>73825.570000000007</v>
      </c>
      <c r="AJ522" s="43">
        <f t="shared" si="270"/>
        <v>4429534.2</v>
      </c>
      <c r="AK522" s="44">
        <f>VLOOKUP(D522,[1]apoio_Preços_MGS!$A$6:$AN$238,39,FALSE)</f>
        <v>200.00000000000003</v>
      </c>
      <c r="AL522" s="44">
        <f>IF(J522="demais municípios",VLOOKUP(D522,[1]apoio_Preços_MGS!$A$6:$AN$238,39,FALSE),0)</f>
        <v>200.00000000000003</v>
      </c>
      <c r="AM522" s="44">
        <v>0</v>
      </c>
      <c r="AN522" s="45">
        <f t="shared" ref="AN522:AN527" si="275">AK522*K522</f>
        <v>2600.0000000000005</v>
      </c>
      <c r="AO522" s="44">
        <f>VLOOKUP(D522,[1]apoio_Preços_MGS!$A$6:$AN$238,40,FALSE)</f>
        <v>546.91999999999996</v>
      </c>
      <c r="AP522" s="44">
        <f>IF(J522="demais municípios",VLOOKUP(D522,[1]apoio_Preços_MGS!$A$6:$AN$238,40,FALSE),0)</f>
        <v>546.91999999999996</v>
      </c>
      <c r="AQ522" s="44">
        <v>0</v>
      </c>
      <c r="AR522" s="45">
        <f t="shared" ref="AR522:AR527" si="276">AO522*K522</f>
        <v>7109.9599999999991</v>
      </c>
      <c r="AS522" s="45">
        <f t="shared" ref="AS522:AS585" si="277">AN522+AR522</f>
        <v>9709.9599999999991</v>
      </c>
      <c r="AT522" s="45">
        <f t="shared" si="256"/>
        <v>582597.6</v>
      </c>
      <c r="AU522" s="62"/>
      <c r="AV522" s="46"/>
      <c r="AW522" s="47"/>
      <c r="AX522" s="48"/>
      <c r="AY522" s="49"/>
      <c r="BA522" s="48"/>
    </row>
    <row r="523" spans="1:53" ht="19.5" customHeight="1" x14ac:dyDescent="0.25">
      <c r="A523" s="33" t="str">
        <f t="shared" ref="A523:A586" si="278">CONCATENATE(F523,H523,I523)</f>
        <v>105651440,027</v>
      </c>
      <c r="B523" s="33" t="str">
        <f t="shared" ref="B523:B586" si="279">CONCATENATE(D523,I523)</f>
        <v>11830,027</v>
      </c>
      <c r="C523" s="34" t="str">
        <f>VLOOKUP(D523,[1]apoio_Preços_MGS!$A$6:$B$238,2,FALSE)</f>
        <v>PORTEIRO</v>
      </c>
      <c r="D523" s="35">
        <v>1183</v>
      </c>
      <c r="E523" s="33" t="str">
        <f>VLOOKUP(D523,[1]apoio_Preços_MGS!$A$6:$F$238,6,FALSE)</f>
        <v>PORTEIRO (SUBS. ABSENT.) - DIARISTA DIURNO - 44H</v>
      </c>
      <c r="F523" s="36">
        <f>IFERROR(VLOOKUP(D523,'[1]apoio_cód catmas'!$B$2:$C$863,2,FALSE),0)</f>
        <v>105651</v>
      </c>
      <c r="G523" s="33" t="str">
        <f>IF(H523="N/A",VLOOKUP(F523&amp;40,'[1]apoio_cód catmas'!$A$1:$G$233,4,FALSE),VLOOKUP(F523&amp;H523,'[1]apoio_cód catmas'!$A$1:$G$233,4,FALSE))</f>
        <v>PORTEIRO (COM SUBSTITUICA) - 30H, 36H, 40H OU 44H</v>
      </c>
      <c r="H523" s="36">
        <v>44</v>
      </c>
      <c r="I523" s="37">
        <v>2.7000000000000003E-2</v>
      </c>
      <c r="J523" s="38" t="s">
        <v>46</v>
      </c>
      <c r="K523" s="39">
        <v>1</v>
      </c>
      <c r="L523" s="39">
        <f t="shared" si="265"/>
        <v>60</v>
      </c>
      <c r="M523" s="40">
        <f>VLOOKUP(D523,[1]apoio_Preços_MGS!$A$6:$AN$238,18,FALSE)</f>
        <v>2357.0108214597344</v>
      </c>
      <c r="N523" s="40">
        <f>VLOOKUP(D523,[1]apoio_Preços_MGS!$A$6:$AN$238,19,FALSE)</f>
        <v>0</v>
      </c>
      <c r="O523" s="40">
        <f>VLOOKUP(D523,[1]apoio_Preços_MGS!$A$6:$AN$238,20,FALSE)</f>
        <v>0</v>
      </c>
      <c r="P523" s="40">
        <f>VLOOKUP(D523,[1]apoio_Preços_MGS!$A$6:$AN$238,21,FALSE)</f>
        <v>0</v>
      </c>
      <c r="Q523" s="40">
        <f>VLOOKUP(D523,[1]apoio_Preços_MGS!$A$6:$AN$238,22,FALSE)</f>
        <v>0</v>
      </c>
      <c r="R523" s="40">
        <f>VLOOKUP(D523,[1]apoio_Preços_MGS!$A$6:$AN$238,23,FALSE)</f>
        <v>0</v>
      </c>
      <c r="S523" s="40">
        <f>VLOOKUP(D523,[1]apoio_Preços_MGS!$A$6:$AN$238,24,FALSE)</f>
        <v>0</v>
      </c>
      <c r="T523" s="40">
        <f>VLOOKUP(D523,[1]apoio_Preços_MGS!$A$6:$AN$238,25,FALSE)</f>
        <v>0</v>
      </c>
      <c r="U523" s="40">
        <f t="shared" si="273"/>
        <v>2357.0108214597344</v>
      </c>
      <c r="V523" s="41">
        <f>VLOOKUP(D523,[1]apoio_Preços_MGS!$A$6:$AN$238,27,FALSE)</f>
        <v>0.81799999999999995</v>
      </c>
      <c r="W523" s="40">
        <f t="shared" si="274"/>
        <v>1928.0348519540626</v>
      </c>
      <c r="X523" s="40">
        <f>VLOOKUP(D523,[1]apoio_Preços_MGS!$A$6:$AN$238,29,FALSE)</f>
        <v>52.672499999999992</v>
      </c>
      <c r="Y523" s="40">
        <f>VLOOKUP(D523,[1]apoio_Preços_MGS!$A$6:$AN$238,30,FALSE)</f>
        <v>1.721363914713578</v>
      </c>
      <c r="Z523" s="40">
        <f t="shared" si="266"/>
        <v>54.39386391471357</v>
      </c>
      <c r="AA523" s="40">
        <f>VLOOKUP(D523,[1]apoio_Preços_MGS!$A$6:$AN$238,32,FALSE)</f>
        <v>4.5254607772026896</v>
      </c>
      <c r="AB523" s="40">
        <f>VLOOKUP(D523,[1]apoio_Preços_MGS!$A$6:$AN$238,33,FALSE)</f>
        <v>114.60128756822279</v>
      </c>
      <c r="AC523" s="41">
        <f>VLOOKUP(D523,[1]apoio_Preços_MGS!$A$6:$AN$238,34,FALSE)</f>
        <v>4.314396214862351E-2</v>
      </c>
      <c r="AD523" s="40">
        <f>(U523+W523+Z523+AB523+AA523+VLOOKUP(C523,[1]apoio_Prec_Folha!$A:$S,7,FALSE))*AC523</f>
        <v>215.95676881877645</v>
      </c>
      <c r="AE523" s="42">
        <f>VLOOKUP(D523,[1]apoio_Preços_MGS!$A$6:$AN$238,36,FALSE)</f>
        <v>7.0000000000000007E-2</v>
      </c>
      <c r="AF523" s="40">
        <f>(U523+W523+Z523+AB523+AD523+AA523+VLOOKUP(C523,[1]apoio_Prec_Folha!$A:$S,7,FALSE))*AE523</f>
        <v>365.50143237118994</v>
      </c>
      <c r="AG523" s="40">
        <f t="shared" si="267"/>
        <v>5040.0200000000004</v>
      </c>
      <c r="AH523" s="43">
        <f t="shared" si="268"/>
        <v>5724.05</v>
      </c>
      <c r="AI523" s="43">
        <f t="shared" si="269"/>
        <v>5724.05</v>
      </c>
      <c r="AJ523" s="43">
        <f t="shared" si="270"/>
        <v>343443</v>
      </c>
      <c r="AK523" s="44">
        <f>VLOOKUP(D523,[1]apoio_Preços_MGS!$A$6:$AN$238,39,FALSE)</f>
        <v>200.00000000000003</v>
      </c>
      <c r="AL523" s="44">
        <f>IF(J523="demais municípios",VLOOKUP(D523,[1]apoio_Preços_MGS!$A$6:$AN$238,39,FALSE),0)</f>
        <v>200.00000000000003</v>
      </c>
      <c r="AM523" s="44">
        <v>0</v>
      </c>
      <c r="AN523" s="45">
        <f t="shared" si="275"/>
        <v>200.00000000000003</v>
      </c>
      <c r="AO523" s="44">
        <f>VLOOKUP(D523,[1]apoio_Preços_MGS!$A$6:$AN$238,40,FALSE)</f>
        <v>546.91999999999996</v>
      </c>
      <c r="AP523" s="44">
        <f>IF(J523="demais municípios",VLOOKUP(D523,[1]apoio_Preços_MGS!$A$6:$AN$238,40,FALSE),0)</f>
        <v>546.91999999999996</v>
      </c>
      <c r="AQ523" s="44">
        <v>0</v>
      </c>
      <c r="AR523" s="45">
        <f t="shared" si="276"/>
        <v>546.91999999999996</v>
      </c>
      <c r="AS523" s="45">
        <f t="shared" si="277"/>
        <v>746.92</v>
      </c>
      <c r="AT523" s="45">
        <f t="shared" ref="AT523:AT586" si="280">(AN523+AR523)*60</f>
        <v>44815.199999999997</v>
      </c>
      <c r="AU523" s="62"/>
      <c r="AV523" s="46"/>
      <c r="AW523" s="47"/>
      <c r="AX523" s="48"/>
      <c r="AY523" s="49"/>
      <c r="BA523" s="48"/>
    </row>
    <row r="524" spans="1:53" ht="19.5" customHeight="1" x14ac:dyDescent="0.25">
      <c r="A524" s="33" t="str">
        <f t="shared" si="278"/>
        <v>105651440,03</v>
      </c>
      <c r="B524" s="33" t="str">
        <f t="shared" si="279"/>
        <v>11830,03</v>
      </c>
      <c r="C524" s="34" t="str">
        <f>VLOOKUP(D524,[1]apoio_Preços_MGS!$A$6:$B$238,2,FALSE)</f>
        <v>PORTEIRO</v>
      </c>
      <c r="D524" s="35">
        <v>1183</v>
      </c>
      <c r="E524" s="33" t="str">
        <f>VLOOKUP(D524,[1]apoio_Preços_MGS!$A$6:$F$238,6,FALSE)</f>
        <v>PORTEIRO (SUBS. ABSENT.) - DIARISTA DIURNO - 44H</v>
      </c>
      <c r="F524" s="36">
        <f>IFERROR(VLOOKUP(D524,'[1]apoio_cód catmas'!$B$2:$C$863,2,FALSE),0)</f>
        <v>105651</v>
      </c>
      <c r="G524" s="33" t="str">
        <f>IF(H524="N/A",VLOOKUP(F524&amp;40,'[1]apoio_cód catmas'!$A$1:$G$233,4,FALSE),VLOOKUP(F524&amp;H524,'[1]apoio_cód catmas'!$A$1:$G$233,4,FALSE))</f>
        <v>PORTEIRO (COM SUBSTITUICA) - 30H, 36H, 40H OU 44H</v>
      </c>
      <c r="H524" s="36">
        <v>44</v>
      </c>
      <c r="I524" s="37">
        <v>0.03</v>
      </c>
      <c r="J524" s="38" t="s">
        <v>46</v>
      </c>
      <c r="K524" s="39">
        <v>52</v>
      </c>
      <c r="L524" s="39">
        <f t="shared" si="265"/>
        <v>3120</v>
      </c>
      <c r="M524" s="40">
        <f>VLOOKUP(D524,[1]apoio_Preços_MGS!$A$6:$AN$238,18,FALSE)</f>
        <v>2357.0108214597344</v>
      </c>
      <c r="N524" s="40">
        <f>VLOOKUP(D524,[1]apoio_Preços_MGS!$A$6:$AN$238,19,FALSE)</f>
        <v>0</v>
      </c>
      <c r="O524" s="40">
        <f>VLOOKUP(D524,[1]apoio_Preços_MGS!$A$6:$AN$238,20,FALSE)</f>
        <v>0</v>
      </c>
      <c r="P524" s="40">
        <f>VLOOKUP(D524,[1]apoio_Preços_MGS!$A$6:$AN$238,21,FALSE)</f>
        <v>0</v>
      </c>
      <c r="Q524" s="40">
        <f>VLOOKUP(D524,[1]apoio_Preços_MGS!$A$6:$AN$238,22,FALSE)</f>
        <v>0</v>
      </c>
      <c r="R524" s="40">
        <f>VLOOKUP(D524,[1]apoio_Preços_MGS!$A$6:$AN$238,23,FALSE)</f>
        <v>0</v>
      </c>
      <c r="S524" s="40">
        <f>VLOOKUP(D524,[1]apoio_Preços_MGS!$A$6:$AN$238,24,FALSE)</f>
        <v>0</v>
      </c>
      <c r="T524" s="40">
        <f>VLOOKUP(D524,[1]apoio_Preços_MGS!$A$6:$AN$238,25,FALSE)</f>
        <v>0</v>
      </c>
      <c r="U524" s="40">
        <f t="shared" si="273"/>
        <v>2357.0108214597344</v>
      </c>
      <c r="V524" s="41">
        <f>VLOOKUP(D524,[1]apoio_Preços_MGS!$A$6:$AN$238,27,FALSE)</f>
        <v>0.81799999999999995</v>
      </c>
      <c r="W524" s="40">
        <f t="shared" si="274"/>
        <v>1928.0348519540626</v>
      </c>
      <c r="X524" s="40">
        <f>VLOOKUP(D524,[1]apoio_Preços_MGS!$A$6:$AN$238,29,FALSE)</f>
        <v>52.672499999999992</v>
      </c>
      <c r="Y524" s="40">
        <f>VLOOKUP(D524,[1]apoio_Preços_MGS!$A$6:$AN$238,30,FALSE)</f>
        <v>1.721363914713578</v>
      </c>
      <c r="Z524" s="40">
        <f t="shared" si="266"/>
        <v>54.39386391471357</v>
      </c>
      <c r="AA524" s="40">
        <f>VLOOKUP(D524,[1]apoio_Preços_MGS!$A$6:$AN$238,32,FALSE)</f>
        <v>4.5254607772026896</v>
      </c>
      <c r="AB524" s="40">
        <f>VLOOKUP(D524,[1]apoio_Preços_MGS!$A$6:$AN$238,33,FALSE)</f>
        <v>114.60128756822279</v>
      </c>
      <c r="AC524" s="41">
        <f>VLOOKUP(D524,[1]apoio_Preços_MGS!$A$6:$AN$238,34,FALSE)</f>
        <v>4.314396214862351E-2</v>
      </c>
      <c r="AD524" s="40">
        <f>(U524+W524+Z524+AB524+AA524+VLOOKUP(C524,[1]apoio_Prec_Folha!$A:$S,7,FALSE))*AC524</f>
        <v>215.95676881877645</v>
      </c>
      <c r="AE524" s="42">
        <f>VLOOKUP(D524,[1]apoio_Preços_MGS!$A$6:$AN$238,36,FALSE)</f>
        <v>7.0000000000000007E-2</v>
      </c>
      <c r="AF524" s="40">
        <f>(U524+W524+Z524+AB524+AD524+AA524+VLOOKUP(C524,[1]apoio_Prec_Folha!$A:$S,7,FALSE))*AE524</f>
        <v>365.50143237118994</v>
      </c>
      <c r="AG524" s="40">
        <f t="shared" si="267"/>
        <v>5040.0200000000004</v>
      </c>
      <c r="AH524" s="43">
        <f t="shared" si="268"/>
        <v>5743.6</v>
      </c>
      <c r="AI524" s="43">
        <f t="shared" si="269"/>
        <v>298667.2</v>
      </c>
      <c r="AJ524" s="43">
        <f t="shared" si="270"/>
        <v>17920032</v>
      </c>
      <c r="AK524" s="44">
        <f>VLOOKUP(D524,[1]apoio_Preços_MGS!$A$6:$AN$238,39,FALSE)</f>
        <v>200.00000000000003</v>
      </c>
      <c r="AL524" s="44">
        <f>IF(J524="demais municípios",VLOOKUP(D524,[1]apoio_Preços_MGS!$A$6:$AN$238,39,FALSE),0)</f>
        <v>200.00000000000003</v>
      </c>
      <c r="AM524" s="44">
        <v>0</v>
      </c>
      <c r="AN524" s="45">
        <f t="shared" si="275"/>
        <v>10400.000000000002</v>
      </c>
      <c r="AO524" s="44">
        <f>VLOOKUP(D524,[1]apoio_Preços_MGS!$A$6:$AN$238,40,FALSE)</f>
        <v>546.91999999999996</v>
      </c>
      <c r="AP524" s="44">
        <f>IF(J524="demais municípios",VLOOKUP(D524,[1]apoio_Preços_MGS!$A$6:$AN$238,40,FALSE),0)</f>
        <v>546.91999999999996</v>
      </c>
      <c r="AQ524" s="44">
        <v>0</v>
      </c>
      <c r="AR524" s="45">
        <f t="shared" si="276"/>
        <v>28439.839999999997</v>
      </c>
      <c r="AS524" s="45">
        <f t="shared" si="277"/>
        <v>38839.839999999997</v>
      </c>
      <c r="AT524" s="45">
        <f t="shared" si="280"/>
        <v>2330390.4</v>
      </c>
      <c r="AU524" s="62"/>
      <c r="AV524" s="46"/>
      <c r="AW524" s="47"/>
      <c r="AX524" s="48"/>
      <c r="AY524" s="49"/>
      <c r="BA524" s="48"/>
    </row>
    <row r="525" spans="1:53" ht="19.5" customHeight="1" x14ac:dyDescent="0.25">
      <c r="A525" s="33" t="str">
        <f t="shared" si="278"/>
        <v>105651440,038</v>
      </c>
      <c r="B525" s="33" t="str">
        <f t="shared" si="279"/>
        <v>11830,038</v>
      </c>
      <c r="C525" s="34" t="str">
        <f>VLOOKUP(D525,[1]apoio_Preços_MGS!$A$6:$B$238,2,FALSE)</f>
        <v>PORTEIRO</v>
      </c>
      <c r="D525" s="35">
        <v>1183</v>
      </c>
      <c r="E525" s="33" t="str">
        <f>VLOOKUP(D525,[1]apoio_Preços_MGS!$A$6:$F$238,6,FALSE)</f>
        <v>PORTEIRO (SUBS. ABSENT.) - DIARISTA DIURNO - 44H</v>
      </c>
      <c r="F525" s="36">
        <f>IFERROR(VLOOKUP(D525,'[1]apoio_cód catmas'!$B$2:$C$863,2,FALSE),0)</f>
        <v>105651</v>
      </c>
      <c r="G525" s="33" t="str">
        <f>IF(H525="N/A",VLOOKUP(F525&amp;40,'[1]apoio_cód catmas'!$A$1:$G$233,4,FALSE),VLOOKUP(F525&amp;H525,'[1]apoio_cód catmas'!$A$1:$G$233,4,FALSE))</f>
        <v>PORTEIRO (COM SUBSTITUICA) - 30H, 36H, 40H OU 44H</v>
      </c>
      <c r="H525" s="36">
        <v>44</v>
      </c>
      <c r="I525" s="37">
        <v>3.7999999999999999E-2</v>
      </c>
      <c r="J525" s="38" t="s">
        <v>46</v>
      </c>
      <c r="K525" s="39">
        <v>5</v>
      </c>
      <c r="L525" s="39">
        <f t="shared" si="265"/>
        <v>300</v>
      </c>
      <c r="M525" s="40">
        <f>VLOOKUP(D525,[1]apoio_Preços_MGS!$A$6:$AN$238,18,FALSE)</f>
        <v>2357.0108214597344</v>
      </c>
      <c r="N525" s="40">
        <f>VLOOKUP(D525,[1]apoio_Preços_MGS!$A$6:$AN$238,19,FALSE)</f>
        <v>0</v>
      </c>
      <c r="O525" s="40">
        <f>VLOOKUP(D525,[1]apoio_Preços_MGS!$A$6:$AN$238,20,FALSE)</f>
        <v>0</v>
      </c>
      <c r="P525" s="40">
        <f>VLOOKUP(D525,[1]apoio_Preços_MGS!$A$6:$AN$238,21,FALSE)</f>
        <v>0</v>
      </c>
      <c r="Q525" s="40">
        <f>VLOOKUP(D525,[1]apoio_Preços_MGS!$A$6:$AN$238,22,FALSE)</f>
        <v>0</v>
      </c>
      <c r="R525" s="40">
        <f>VLOOKUP(D525,[1]apoio_Preços_MGS!$A$6:$AN$238,23,FALSE)</f>
        <v>0</v>
      </c>
      <c r="S525" s="40">
        <f>VLOOKUP(D525,[1]apoio_Preços_MGS!$A$6:$AN$238,24,FALSE)</f>
        <v>0</v>
      </c>
      <c r="T525" s="40">
        <f>VLOOKUP(D525,[1]apoio_Preços_MGS!$A$6:$AN$238,25,FALSE)</f>
        <v>0</v>
      </c>
      <c r="U525" s="40">
        <f t="shared" si="273"/>
        <v>2357.0108214597344</v>
      </c>
      <c r="V525" s="41">
        <f>VLOOKUP(D525,[1]apoio_Preços_MGS!$A$6:$AN$238,27,FALSE)</f>
        <v>0.81799999999999995</v>
      </c>
      <c r="W525" s="40">
        <f t="shared" si="274"/>
        <v>1928.0348519540626</v>
      </c>
      <c r="X525" s="40">
        <f>VLOOKUP(D525,[1]apoio_Preços_MGS!$A$6:$AN$238,29,FALSE)</f>
        <v>52.672499999999992</v>
      </c>
      <c r="Y525" s="40">
        <f>VLOOKUP(D525,[1]apoio_Preços_MGS!$A$6:$AN$238,30,FALSE)</f>
        <v>1.721363914713578</v>
      </c>
      <c r="Z525" s="40">
        <f t="shared" si="266"/>
        <v>54.39386391471357</v>
      </c>
      <c r="AA525" s="40">
        <f>VLOOKUP(D525,[1]apoio_Preços_MGS!$A$6:$AN$238,32,FALSE)</f>
        <v>4.5254607772026896</v>
      </c>
      <c r="AB525" s="40">
        <f>VLOOKUP(D525,[1]apoio_Preços_MGS!$A$6:$AN$238,33,FALSE)</f>
        <v>114.60128756822279</v>
      </c>
      <c r="AC525" s="41">
        <f>VLOOKUP(D525,[1]apoio_Preços_MGS!$A$6:$AN$238,34,FALSE)</f>
        <v>4.314396214862351E-2</v>
      </c>
      <c r="AD525" s="40">
        <f>(U525+W525+Z525+AB525+AA525+VLOOKUP(C525,[1]apoio_Prec_Folha!$A:$S,7,FALSE))*AC525</f>
        <v>215.95676881877645</v>
      </c>
      <c r="AE525" s="42">
        <f>VLOOKUP(D525,[1]apoio_Preços_MGS!$A$6:$AN$238,36,FALSE)</f>
        <v>7.0000000000000007E-2</v>
      </c>
      <c r="AF525" s="40">
        <f>(U525+W525+Z525+AB525+AD525+AA525+VLOOKUP(C525,[1]apoio_Prec_Folha!$A:$S,7,FALSE))*AE525</f>
        <v>365.50143237118994</v>
      </c>
      <c r="AG525" s="40">
        <f t="shared" si="267"/>
        <v>5040.0200000000004</v>
      </c>
      <c r="AH525" s="43">
        <f t="shared" si="268"/>
        <v>5796.47</v>
      </c>
      <c r="AI525" s="43">
        <f t="shared" si="269"/>
        <v>28982.350000000002</v>
      </c>
      <c r="AJ525" s="43">
        <f t="shared" si="270"/>
        <v>1738941</v>
      </c>
      <c r="AK525" s="44">
        <f>VLOOKUP(D525,[1]apoio_Preços_MGS!$A$6:$AN$238,39,FALSE)</f>
        <v>200.00000000000003</v>
      </c>
      <c r="AL525" s="44">
        <f>IF(J525="demais municípios",VLOOKUP(D525,[1]apoio_Preços_MGS!$A$6:$AN$238,39,FALSE),0)</f>
        <v>200.00000000000003</v>
      </c>
      <c r="AM525" s="44">
        <v>0</v>
      </c>
      <c r="AN525" s="45">
        <f t="shared" si="275"/>
        <v>1000.0000000000001</v>
      </c>
      <c r="AO525" s="44">
        <f>VLOOKUP(D525,[1]apoio_Preços_MGS!$A$6:$AN$238,40,FALSE)</f>
        <v>546.91999999999996</v>
      </c>
      <c r="AP525" s="44">
        <f>IF(J525="demais municípios",VLOOKUP(D525,[1]apoio_Preços_MGS!$A$6:$AN$238,40,FALSE),0)</f>
        <v>546.91999999999996</v>
      </c>
      <c r="AQ525" s="44">
        <v>0</v>
      </c>
      <c r="AR525" s="45">
        <f t="shared" si="276"/>
        <v>2734.6</v>
      </c>
      <c r="AS525" s="45">
        <f t="shared" si="277"/>
        <v>3734.6</v>
      </c>
      <c r="AT525" s="45">
        <f t="shared" si="280"/>
        <v>224076</v>
      </c>
      <c r="AU525" s="62"/>
      <c r="AV525" s="46"/>
      <c r="AW525" s="47"/>
      <c r="AX525" s="48"/>
      <c r="AY525" s="49"/>
      <c r="BA525" s="48"/>
    </row>
    <row r="526" spans="1:53" ht="19.5" customHeight="1" x14ac:dyDescent="0.25">
      <c r="A526" s="33" t="str">
        <f t="shared" si="278"/>
        <v>105651440,04</v>
      </c>
      <c r="B526" s="33" t="str">
        <f t="shared" si="279"/>
        <v>11830,04</v>
      </c>
      <c r="C526" s="34" t="str">
        <f>VLOOKUP(D526,[1]apoio_Preços_MGS!$A$6:$B$238,2,FALSE)</f>
        <v>PORTEIRO</v>
      </c>
      <c r="D526" s="35">
        <v>1183</v>
      </c>
      <c r="E526" s="33" t="str">
        <f>VLOOKUP(D526,[1]apoio_Preços_MGS!$A$6:$F$238,6,FALSE)</f>
        <v>PORTEIRO (SUBS. ABSENT.) - DIARISTA DIURNO - 44H</v>
      </c>
      <c r="F526" s="36">
        <f>IFERROR(VLOOKUP(D526,'[1]apoio_cód catmas'!$B$2:$C$863,2,FALSE),0)</f>
        <v>105651</v>
      </c>
      <c r="G526" s="33" t="str">
        <f>IF(H526="N/A",VLOOKUP(F526&amp;40,'[1]apoio_cód catmas'!$A$1:$G$233,4,FALSE),VLOOKUP(F526&amp;H526,'[1]apoio_cód catmas'!$A$1:$G$233,4,FALSE))</f>
        <v>PORTEIRO (COM SUBSTITUICA) - 30H, 36H, 40H OU 44H</v>
      </c>
      <c r="H526" s="36">
        <v>44</v>
      </c>
      <c r="I526" s="37">
        <v>0.04</v>
      </c>
      <c r="J526" s="38" t="s">
        <v>46</v>
      </c>
      <c r="K526" s="39">
        <v>6</v>
      </c>
      <c r="L526" s="39">
        <f t="shared" si="265"/>
        <v>360</v>
      </c>
      <c r="M526" s="40">
        <f>VLOOKUP(D526,[1]apoio_Preços_MGS!$A$6:$AN$238,18,FALSE)</f>
        <v>2357.0108214597344</v>
      </c>
      <c r="N526" s="40">
        <f>VLOOKUP(D526,[1]apoio_Preços_MGS!$A$6:$AN$238,19,FALSE)</f>
        <v>0</v>
      </c>
      <c r="O526" s="40">
        <f>VLOOKUP(D526,[1]apoio_Preços_MGS!$A$6:$AN$238,20,FALSE)</f>
        <v>0</v>
      </c>
      <c r="P526" s="40">
        <f>VLOOKUP(D526,[1]apoio_Preços_MGS!$A$6:$AN$238,21,FALSE)</f>
        <v>0</v>
      </c>
      <c r="Q526" s="40">
        <f>VLOOKUP(D526,[1]apoio_Preços_MGS!$A$6:$AN$238,22,FALSE)</f>
        <v>0</v>
      </c>
      <c r="R526" s="40">
        <f>VLOOKUP(D526,[1]apoio_Preços_MGS!$A$6:$AN$238,23,FALSE)</f>
        <v>0</v>
      </c>
      <c r="S526" s="40">
        <f>VLOOKUP(D526,[1]apoio_Preços_MGS!$A$6:$AN$238,24,FALSE)</f>
        <v>0</v>
      </c>
      <c r="T526" s="40">
        <f>VLOOKUP(D526,[1]apoio_Preços_MGS!$A$6:$AN$238,25,FALSE)</f>
        <v>0</v>
      </c>
      <c r="U526" s="40">
        <f t="shared" si="273"/>
        <v>2357.0108214597344</v>
      </c>
      <c r="V526" s="41">
        <f>VLOOKUP(D526,[1]apoio_Preços_MGS!$A$6:$AN$238,27,FALSE)</f>
        <v>0.81799999999999995</v>
      </c>
      <c r="W526" s="40">
        <f t="shared" si="274"/>
        <v>1928.0348519540626</v>
      </c>
      <c r="X526" s="40">
        <f>VLOOKUP(D526,[1]apoio_Preços_MGS!$A$6:$AN$238,29,FALSE)</f>
        <v>52.672499999999992</v>
      </c>
      <c r="Y526" s="40">
        <f>VLOOKUP(D526,[1]apoio_Preços_MGS!$A$6:$AN$238,30,FALSE)</f>
        <v>1.721363914713578</v>
      </c>
      <c r="Z526" s="40">
        <f t="shared" si="266"/>
        <v>54.39386391471357</v>
      </c>
      <c r="AA526" s="40">
        <f>VLOOKUP(D526,[1]apoio_Preços_MGS!$A$6:$AN$238,32,FALSE)</f>
        <v>4.5254607772026896</v>
      </c>
      <c r="AB526" s="40">
        <f>VLOOKUP(D526,[1]apoio_Preços_MGS!$A$6:$AN$238,33,FALSE)</f>
        <v>114.60128756822279</v>
      </c>
      <c r="AC526" s="41">
        <f>VLOOKUP(D526,[1]apoio_Preços_MGS!$A$6:$AN$238,34,FALSE)</f>
        <v>4.314396214862351E-2</v>
      </c>
      <c r="AD526" s="40">
        <f>(U526+W526+Z526+AB526+AA526+VLOOKUP(C526,[1]apoio_Prec_Folha!$A:$S,7,FALSE))*AC526</f>
        <v>215.95676881877645</v>
      </c>
      <c r="AE526" s="42">
        <f>VLOOKUP(D526,[1]apoio_Preços_MGS!$A$6:$AN$238,36,FALSE)</f>
        <v>7.0000000000000007E-2</v>
      </c>
      <c r="AF526" s="40">
        <f>(U526+W526+Z526+AB526+AD526+AA526+VLOOKUP(C526,[1]apoio_Prec_Folha!$A:$S,7,FALSE))*AE526</f>
        <v>365.50143237118994</v>
      </c>
      <c r="AG526" s="40">
        <f t="shared" si="267"/>
        <v>5040.0200000000004</v>
      </c>
      <c r="AH526" s="43">
        <f t="shared" si="268"/>
        <v>5809.83</v>
      </c>
      <c r="AI526" s="43">
        <f t="shared" si="269"/>
        <v>34858.979999999996</v>
      </c>
      <c r="AJ526" s="43">
        <f t="shared" si="270"/>
        <v>2091538.8</v>
      </c>
      <c r="AK526" s="44">
        <f>VLOOKUP(D526,[1]apoio_Preços_MGS!$A$6:$AN$238,39,FALSE)</f>
        <v>200.00000000000003</v>
      </c>
      <c r="AL526" s="44">
        <f>IF(J526="demais municípios",VLOOKUP(D526,[1]apoio_Preços_MGS!$A$6:$AN$238,39,FALSE),0)</f>
        <v>200.00000000000003</v>
      </c>
      <c r="AM526" s="44">
        <v>0</v>
      </c>
      <c r="AN526" s="45">
        <f t="shared" si="275"/>
        <v>1200.0000000000002</v>
      </c>
      <c r="AO526" s="44">
        <f>VLOOKUP(D526,[1]apoio_Preços_MGS!$A$6:$AN$238,40,FALSE)</f>
        <v>546.91999999999996</v>
      </c>
      <c r="AP526" s="44">
        <f>IF(J526="demais municípios",VLOOKUP(D526,[1]apoio_Preços_MGS!$A$6:$AN$238,40,FALSE),0)</f>
        <v>546.91999999999996</v>
      </c>
      <c r="AQ526" s="44">
        <v>0</v>
      </c>
      <c r="AR526" s="45">
        <f t="shared" si="276"/>
        <v>3281.5199999999995</v>
      </c>
      <c r="AS526" s="45">
        <f t="shared" si="277"/>
        <v>4481.5199999999995</v>
      </c>
      <c r="AT526" s="45">
        <f t="shared" si="280"/>
        <v>268891.19999999995</v>
      </c>
      <c r="AU526" s="62"/>
      <c r="AV526" s="46"/>
      <c r="AW526" s="47"/>
      <c r="AX526" s="48"/>
      <c r="AY526" s="49"/>
      <c r="BA526" s="48"/>
    </row>
    <row r="527" spans="1:53" ht="19.5" customHeight="1" x14ac:dyDescent="0.25">
      <c r="A527" s="33" t="str">
        <f t="shared" si="278"/>
        <v>105651440,05</v>
      </c>
      <c r="B527" s="33" t="str">
        <f t="shared" si="279"/>
        <v>11830,05</v>
      </c>
      <c r="C527" s="34" t="str">
        <f>VLOOKUP(D527,[1]apoio_Preços_MGS!$A$6:$B$238,2,FALSE)</f>
        <v>PORTEIRO</v>
      </c>
      <c r="D527" s="35">
        <v>1183</v>
      </c>
      <c r="E527" s="33" t="str">
        <f>VLOOKUP(D527,[1]apoio_Preços_MGS!$A$6:$F$238,6,FALSE)</f>
        <v>PORTEIRO (SUBS. ABSENT.) - DIARISTA DIURNO - 44H</v>
      </c>
      <c r="F527" s="36">
        <f>IFERROR(VLOOKUP(D527,'[1]apoio_cód catmas'!$B$2:$C$863,2,FALSE),0)</f>
        <v>105651</v>
      </c>
      <c r="G527" s="33" t="str">
        <f>IF(H527="N/A",VLOOKUP(F527&amp;40,'[1]apoio_cód catmas'!$A$1:$G$233,4,FALSE),VLOOKUP(F527&amp;H527,'[1]apoio_cód catmas'!$A$1:$G$233,4,FALSE))</f>
        <v>PORTEIRO (COM SUBSTITUICA) - 30H, 36H, 40H OU 44H</v>
      </c>
      <c r="H527" s="36">
        <v>44</v>
      </c>
      <c r="I527" s="37">
        <v>0.05</v>
      </c>
      <c r="J527" s="38" t="s">
        <v>46</v>
      </c>
      <c r="K527" s="39">
        <f>88-K528</f>
        <v>6</v>
      </c>
      <c r="L527" s="39">
        <f t="shared" si="265"/>
        <v>360</v>
      </c>
      <c r="M527" s="40">
        <f>VLOOKUP(D527,[1]apoio_Preços_MGS!$A$6:$AN$238,18,FALSE)</f>
        <v>2357.0108214597344</v>
      </c>
      <c r="N527" s="40">
        <f>VLOOKUP(D527,[1]apoio_Preços_MGS!$A$6:$AN$238,19,FALSE)</f>
        <v>0</v>
      </c>
      <c r="O527" s="40">
        <f>VLOOKUP(D527,[1]apoio_Preços_MGS!$A$6:$AN$238,20,FALSE)</f>
        <v>0</v>
      </c>
      <c r="P527" s="40">
        <f>VLOOKUP(D527,[1]apoio_Preços_MGS!$A$6:$AN$238,21,FALSE)</f>
        <v>0</v>
      </c>
      <c r="Q527" s="40">
        <f>VLOOKUP(D527,[1]apoio_Preços_MGS!$A$6:$AN$238,22,FALSE)</f>
        <v>0</v>
      </c>
      <c r="R527" s="40">
        <f>VLOOKUP(D527,[1]apoio_Preços_MGS!$A$6:$AN$238,23,FALSE)</f>
        <v>0</v>
      </c>
      <c r="S527" s="40">
        <f>VLOOKUP(D527,[1]apoio_Preços_MGS!$A$6:$AN$238,24,FALSE)</f>
        <v>0</v>
      </c>
      <c r="T527" s="40">
        <f>VLOOKUP(D527,[1]apoio_Preços_MGS!$A$6:$AN$238,25,FALSE)</f>
        <v>0</v>
      </c>
      <c r="U527" s="40">
        <f t="shared" si="273"/>
        <v>2357.0108214597344</v>
      </c>
      <c r="V527" s="41">
        <f>VLOOKUP(D527,[1]apoio_Preços_MGS!$A$6:$AN$238,27,FALSE)</f>
        <v>0.81799999999999995</v>
      </c>
      <c r="W527" s="40">
        <f t="shared" si="274"/>
        <v>1928.0348519540626</v>
      </c>
      <c r="X527" s="40">
        <f>VLOOKUP(D527,[1]apoio_Preços_MGS!$A$6:$AN$238,29,FALSE)</f>
        <v>52.672499999999992</v>
      </c>
      <c r="Y527" s="40">
        <f>VLOOKUP(D527,[1]apoio_Preços_MGS!$A$6:$AN$238,30,FALSE)</f>
        <v>1.721363914713578</v>
      </c>
      <c r="Z527" s="40">
        <f t="shared" si="266"/>
        <v>54.39386391471357</v>
      </c>
      <c r="AA527" s="40">
        <f>VLOOKUP(D527,[1]apoio_Preços_MGS!$A$6:$AN$238,32,FALSE)</f>
        <v>4.5254607772026896</v>
      </c>
      <c r="AB527" s="40">
        <f>VLOOKUP(D527,[1]apoio_Preços_MGS!$A$6:$AN$238,33,FALSE)</f>
        <v>114.60128756822279</v>
      </c>
      <c r="AC527" s="41">
        <f>VLOOKUP(D527,[1]apoio_Preços_MGS!$A$6:$AN$238,34,FALSE)</f>
        <v>4.314396214862351E-2</v>
      </c>
      <c r="AD527" s="40">
        <f>(U527+W527+Z527+AB527+AA527+VLOOKUP(C527,[1]apoio_Prec_Folha!$A:$S,7,FALSE))*AC527</f>
        <v>215.95676881877645</v>
      </c>
      <c r="AE527" s="42">
        <f>VLOOKUP(D527,[1]apoio_Preços_MGS!$A$6:$AN$238,36,FALSE)</f>
        <v>7.0000000000000007E-2</v>
      </c>
      <c r="AF527" s="40">
        <f>(U527+W527+Z527+AB527+AD527+AA527+VLOOKUP(C527,[1]apoio_Prec_Folha!$A:$S,7,FALSE))*AE527</f>
        <v>365.50143237118994</v>
      </c>
      <c r="AG527" s="40">
        <f t="shared" si="267"/>
        <v>5040.0200000000004</v>
      </c>
      <c r="AH527" s="43">
        <f t="shared" si="268"/>
        <v>5877.57</v>
      </c>
      <c r="AI527" s="43">
        <f t="shared" si="269"/>
        <v>35265.42</v>
      </c>
      <c r="AJ527" s="43">
        <f t="shared" si="270"/>
        <v>2115925.1999999997</v>
      </c>
      <c r="AK527" s="44">
        <f>VLOOKUP(D527,[1]apoio_Preços_MGS!$A$6:$AN$238,39,FALSE)</f>
        <v>200.00000000000003</v>
      </c>
      <c r="AL527" s="44">
        <f>IF(J527="demais municípios",VLOOKUP(D527,[1]apoio_Preços_MGS!$A$6:$AN$238,39,FALSE),0)</f>
        <v>200.00000000000003</v>
      </c>
      <c r="AM527" s="44">
        <v>0</v>
      </c>
      <c r="AN527" s="45">
        <f t="shared" si="275"/>
        <v>1200.0000000000002</v>
      </c>
      <c r="AO527" s="44">
        <f>VLOOKUP(D527,[1]apoio_Preços_MGS!$A$6:$AN$238,40,FALSE)</f>
        <v>546.91999999999996</v>
      </c>
      <c r="AP527" s="44">
        <f>IF(J527="demais municípios",VLOOKUP(D527,[1]apoio_Preços_MGS!$A$6:$AN$238,40,FALSE),0)</f>
        <v>546.91999999999996</v>
      </c>
      <c r="AQ527" s="44">
        <v>0</v>
      </c>
      <c r="AR527" s="45">
        <f t="shared" si="276"/>
        <v>3281.5199999999995</v>
      </c>
      <c r="AS527" s="45">
        <f t="shared" si="277"/>
        <v>4481.5199999999995</v>
      </c>
      <c r="AT527" s="45">
        <f t="shared" si="280"/>
        <v>268891.19999999995</v>
      </c>
      <c r="AU527" s="62"/>
      <c r="AV527" s="46"/>
      <c r="AW527" s="47"/>
      <c r="AX527" s="48"/>
      <c r="AY527" s="49"/>
      <c r="BA527" s="48"/>
    </row>
    <row r="528" spans="1:53" ht="19.5" customHeight="1" x14ac:dyDescent="0.25">
      <c r="A528" s="33" t="str">
        <f t="shared" si="278"/>
        <v>105651440,05</v>
      </c>
      <c r="B528" s="33" t="str">
        <f t="shared" si="279"/>
        <v>11830,05</v>
      </c>
      <c r="C528" s="34" t="str">
        <f>VLOOKUP(D528,[1]apoio_Preços_MGS!$A$6:$B$238,2,FALSE)</f>
        <v>PORTEIRO</v>
      </c>
      <c r="D528" s="35">
        <v>1183</v>
      </c>
      <c r="E528" s="33" t="str">
        <f>VLOOKUP(D528,[1]apoio_Preços_MGS!$A$6:$F$238,6,FALSE)</f>
        <v>PORTEIRO (SUBS. ABSENT.) - DIARISTA DIURNO - 44H</v>
      </c>
      <c r="F528" s="36">
        <f>IFERROR(VLOOKUP(D528,'[1]apoio_cód catmas'!$B$2:$C$863,2,FALSE),0)</f>
        <v>105651</v>
      </c>
      <c r="G528" s="33" t="str">
        <f>IF(H528="N/A",VLOOKUP(F528&amp;40,'[1]apoio_cód catmas'!$A$1:$G$233,4,FALSE),VLOOKUP(F528&amp;H528,'[1]apoio_cód catmas'!$A$1:$G$233,4,FALSE))</f>
        <v>PORTEIRO (COM SUBSTITUICA) - 30H, 36H, 40H OU 44H</v>
      </c>
      <c r="H528" s="36">
        <v>44</v>
      </c>
      <c r="I528" s="37">
        <v>0.05</v>
      </c>
      <c r="J528" s="38" t="s">
        <v>47</v>
      </c>
      <c r="K528" s="39">
        <v>82</v>
      </c>
      <c r="L528" s="39">
        <f t="shared" si="265"/>
        <v>4920</v>
      </c>
      <c r="M528" s="40">
        <f>VLOOKUP(D528,[1]apoio_Preços_MGS!$A$6:$AN$238,18,FALSE)</f>
        <v>2357.0108214597344</v>
      </c>
      <c r="N528" s="40">
        <f>VLOOKUP(D528,[1]apoio_Preços_MGS!$A$6:$AN$238,19,FALSE)</f>
        <v>0</v>
      </c>
      <c r="O528" s="40">
        <f>VLOOKUP(D528,[1]apoio_Preços_MGS!$A$6:$AN$238,20,FALSE)</f>
        <v>0</v>
      </c>
      <c r="P528" s="40">
        <f>VLOOKUP(D528,[1]apoio_Preços_MGS!$A$6:$AN$238,21,FALSE)</f>
        <v>0</v>
      </c>
      <c r="Q528" s="40">
        <f>VLOOKUP(D528,[1]apoio_Preços_MGS!$A$6:$AN$238,22,FALSE)</f>
        <v>0</v>
      </c>
      <c r="R528" s="40">
        <f>VLOOKUP(D528,[1]apoio_Preços_MGS!$A$6:$AN$238,23,FALSE)</f>
        <v>0</v>
      </c>
      <c r="S528" s="40">
        <f>VLOOKUP(D528,[1]apoio_Preços_MGS!$A$6:$AN$238,24,FALSE)</f>
        <v>0</v>
      </c>
      <c r="T528" s="40">
        <f>VLOOKUP(D528,[1]apoio_Preços_MGS!$A$6:$AN$238,25,FALSE)</f>
        <v>0</v>
      </c>
      <c r="U528" s="40">
        <f t="shared" si="273"/>
        <v>2357.0108214597344</v>
      </c>
      <c r="V528" s="41">
        <f>VLOOKUP(D528,[1]apoio_Preços_MGS!$A$6:$AN$238,27,FALSE)</f>
        <v>0.81799999999999995</v>
      </c>
      <c r="W528" s="40">
        <f t="shared" si="274"/>
        <v>1928.0348519540626</v>
      </c>
      <c r="X528" s="40">
        <f>VLOOKUP(D528,[1]apoio_Preços_MGS!$A$6:$AN$238,29,FALSE)</f>
        <v>52.672499999999992</v>
      </c>
      <c r="Y528" s="40">
        <f>VLOOKUP(D528,[1]apoio_Preços_MGS!$A$6:$AN$238,30,FALSE)</f>
        <v>1.721363914713578</v>
      </c>
      <c r="Z528" s="40">
        <f t="shared" si="266"/>
        <v>54.39386391471357</v>
      </c>
      <c r="AA528" s="40">
        <f>VLOOKUP(D528,[1]apoio_Preços_MGS!$A$6:$AN$238,32,FALSE)</f>
        <v>4.5254607772026896</v>
      </c>
      <c r="AB528" s="40">
        <f>VLOOKUP(D528,[1]apoio_Preços_MGS!$A$6:$AN$238,33,FALSE)</f>
        <v>114.60128756822279</v>
      </c>
      <c r="AC528" s="41">
        <f>VLOOKUP(D528,[1]apoio_Preços_MGS!$A$6:$AN$238,34,FALSE)</f>
        <v>4.314396214862351E-2</v>
      </c>
      <c r="AD528" s="40">
        <f>(U528+W528+Z528+AB528+AA528+VLOOKUP(C528,[1]apoio_Prec_Folha!$A:$S,7,FALSE))*AC528</f>
        <v>215.95676881877645</v>
      </c>
      <c r="AE528" s="42">
        <f>VLOOKUP(D528,[1]apoio_Preços_MGS!$A$6:$AN$238,36,FALSE)</f>
        <v>7.0000000000000007E-2</v>
      </c>
      <c r="AF528" s="40">
        <f>(U528+W528+Z528+AB528+AD528+AA528+VLOOKUP(C528,[1]apoio_Prec_Folha!$A:$S,7,FALSE))*AE528</f>
        <v>365.50143237118994</v>
      </c>
      <c r="AG528" s="40">
        <f t="shared" si="267"/>
        <v>5040.0200000000004</v>
      </c>
      <c r="AH528" s="43">
        <f t="shared" si="268"/>
        <v>5877.57</v>
      </c>
      <c r="AI528" s="43">
        <f t="shared" si="269"/>
        <v>481960.74</v>
      </c>
      <c r="AJ528" s="43">
        <f t="shared" si="270"/>
        <v>28917644.399999999</v>
      </c>
      <c r="AK528" s="44">
        <f>VLOOKUP(D528,[1]apoio_Preços_MGS!$A$6:$AN$238,39,FALSE)</f>
        <v>200.00000000000003</v>
      </c>
      <c r="AL528" s="44">
        <f>IF(J528="demais municípios",VLOOKUP(D528,[1]apoio_Preços_MGS!$A$6:$AN$238,39,FALSE),0)</f>
        <v>0</v>
      </c>
      <c r="AM528" s="44">
        <f>TRUNC(ROUND(($I528)/(1-($I528)),5)*VLOOKUP(D528,[1]apoio_Preços_MGS!$A$6:$AN$238,39,FALSE)+VLOOKUP(D528,[1]apoio_Preços_MGS!$A$6:$AN$238,39,FALSE),2)</f>
        <v>210.52</v>
      </c>
      <c r="AN528" s="45">
        <f t="shared" ref="AN528:AN579" si="281">AM528*K528</f>
        <v>17262.64</v>
      </c>
      <c r="AO528" s="44">
        <f>VLOOKUP(D528,[1]apoio_Preços_MGS!$A$6:$AN$238,40,FALSE)</f>
        <v>546.91999999999996</v>
      </c>
      <c r="AP528" s="44">
        <f>IF(J528="demais municípios",VLOOKUP(D528,[1]apoio_Preços_MGS!$A$6:$AN$238,40,FALSE),0)</f>
        <v>0</v>
      </c>
      <c r="AQ528" s="44">
        <f>TRUNC(ROUND(($I528)/(1-($I528)),5)*VLOOKUP(D528,[1]apoio_Preços_MGS!$A$6:$AN$238,40,FALSE)+VLOOKUP(D528,[1]apoio_Preços_MGS!$A$6:$AN$238,40,FALSE),2)</f>
        <v>575.70000000000005</v>
      </c>
      <c r="AR528" s="45">
        <f t="shared" ref="AR528:AR579" si="282">AQ528*K528</f>
        <v>47207.4</v>
      </c>
      <c r="AS528" s="45">
        <f t="shared" si="277"/>
        <v>64470.04</v>
      </c>
      <c r="AT528" s="45">
        <f t="shared" si="280"/>
        <v>3868202.4</v>
      </c>
      <c r="AU528" s="62"/>
      <c r="AV528" s="46"/>
      <c r="AW528" s="47"/>
      <c r="AX528" s="48"/>
      <c r="AY528" s="49"/>
      <c r="BA528" s="48"/>
    </row>
    <row r="529" spans="1:53" ht="19.5" customHeight="1" x14ac:dyDescent="0.25">
      <c r="A529" s="33" t="str">
        <f t="shared" si="278"/>
        <v>106305440,02</v>
      </c>
      <c r="B529" s="33" t="str">
        <f t="shared" si="279"/>
        <v>11860,02</v>
      </c>
      <c r="C529" s="34" t="str">
        <f>VLOOKUP(D529,[1]apoio_Preços_MGS!$A$6:$B$238,2,FALSE)</f>
        <v>PORTEIRO</v>
      </c>
      <c r="D529" s="35">
        <v>1186</v>
      </c>
      <c r="E529" s="33" t="str">
        <f>VLOOKUP(D529,[1]apoio_Preços_MGS!$A$6:$F$238,6,FALSE)</f>
        <v>PORTEIRO (SUBS. ABSENT.) - (PERIC.) - DIARISTA DIURNO - 44H</v>
      </c>
      <c r="F529" s="36">
        <f>IFERROR(VLOOKUP(D529,'[1]apoio_cód catmas'!$B$2:$C$863,2,FALSE),0)</f>
        <v>106305</v>
      </c>
      <c r="G529" s="33" t="str">
        <f>IF(H529="N/A",VLOOKUP(F529&amp;40,'[1]apoio_cód catmas'!$A$1:$G$233,4,FALSE),VLOOKUP(F529&amp;H529,'[1]apoio_cód catmas'!$A$1:$G$233,4,FALSE))</f>
        <v>PORTEIRO (COM SUBSTITUICAO) - (PERICULOSIDADE)  - 30H, 36H,40H OU 44H</v>
      </c>
      <c r="H529" s="36">
        <v>44</v>
      </c>
      <c r="I529" s="37">
        <v>0.02</v>
      </c>
      <c r="J529" s="38" t="s">
        <v>46</v>
      </c>
      <c r="K529" s="39">
        <v>4</v>
      </c>
      <c r="L529" s="39">
        <f t="shared" si="265"/>
        <v>240</v>
      </c>
      <c r="M529" s="40">
        <f>VLOOKUP(D529,[1]apoio_Preços_MGS!$A$6:$AN$238,18,FALSE)</f>
        <v>2357.0108214597344</v>
      </c>
      <c r="N529" s="40">
        <f>VLOOKUP(D529,[1]apoio_Preços_MGS!$A$6:$AN$238,19,FALSE)</f>
        <v>707.10324643792035</v>
      </c>
      <c r="O529" s="40">
        <f>VLOOKUP(D529,[1]apoio_Preços_MGS!$A$6:$AN$238,20,FALSE)</f>
        <v>0</v>
      </c>
      <c r="P529" s="40">
        <f>VLOOKUP(D529,[1]apoio_Preços_MGS!$A$6:$AN$238,21,FALSE)</f>
        <v>0</v>
      </c>
      <c r="Q529" s="40">
        <f>VLOOKUP(D529,[1]apoio_Preços_MGS!$A$6:$AN$238,22,FALSE)</f>
        <v>0</v>
      </c>
      <c r="R529" s="40">
        <f>VLOOKUP(D529,[1]apoio_Preços_MGS!$A$6:$AN$238,23,FALSE)</f>
        <v>313.37530239862377</v>
      </c>
      <c r="S529" s="40">
        <f>VLOOKUP(D529,[1]apoio_Preços_MGS!$A$6:$AN$238,24,FALSE)</f>
        <v>0</v>
      </c>
      <c r="T529" s="40">
        <f>VLOOKUP(D529,[1]apoio_Preços_MGS!$A$6:$AN$238,25,FALSE)</f>
        <v>0</v>
      </c>
      <c r="U529" s="40">
        <f t="shared" si="273"/>
        <v>3377.4893702962786</v>
      </c>
      <c r="V529" s="41">
        <f>VLOOKUP(D529,[1]apoio_Preços_MGS!$A$6:$AN$238,27,FALSE)</f>
        <v>0.81799999999999995</v>
      </c>
      <c r="W529" s="40">
        <f t="shared" si="274"/>
        <v>2762.7863049023558</v>
      </c>
      <c r="X529" s="40">
        <f>VLOOKUP(D529,[1]apoio_Preços_MGS!$A$6:$AN$238,29,FALSE)</f>
        <v>52.672499999999992</v>
      </c>
      <c r="Y529" s="40">
        <f>VLOOKUP(D529,[1]apoio_Preços_MGS!$A$6:$AN$238,30,FALSE)</f>
        <v>1.721363914713578</v>
      </c>
      <c r="Z529" s="40">
        <f t="shared" si="266"/>
        <v>54.39386391471357</v>
      </c>
      <c r="AA529" s="40">
        <f>VLOOKUP(D529,[1]apoio_Preços_MGS!$A$6:$AN$238,32,FALSE)</f>
        <v>4.5254607772026896</v>
      </c>
      <c r="AB529" s="40">
        <f>VLOOKUP(D529,[1]apoio_Preços_MGS!$A$6:$AN$238,33,FALSE)</f>
        <v>114.60128756822279</v>
      </c>
      <c r="AC529" s="41">
        <f>VLOOKUP(D529,[1]apoio_Preços_MGS!$A$6:$AN$238,34,FALSE)</f>
        <v>4.314396214862351E-2</v>
      </c>
      <c r="AD529" s="40">
        <f>(U529+W529+Z529+AB529+AA529+VLOOKUP(C529,[1]apoio_Prec_Folha!$A:$S,7,FALSE))*AC529</f>
        <v>295.99874179277219</v>
      </c>
      <c r="AE529" s="42">
        <f>VLOOKUP(D529,[1]apoio_Preços_MGS!$A$6:$AN$238,36,FALSE)</f>
        <v>7.0000000000000007E-2</v>
      </c>
      <c r="AF529" s="40">
        <f>(U529+W529+Z529+AB529+AD529+AA529+VLOOKUP(C529,[1]apoio_Prec_Folha!$A:$S,7,FALSE))*AE529</f>
        <v>500.97047060430833</v>
      </c>
      <c r="AG529" s="40">
        <f t="shared" si="267"/>
        <v>7110.76</v>
      </c>
      <c r="AH529" s="43">
        <f t="shared" si="268"/>
        <v>8012.11</v>
      </c>
      <c r="AI529" s="43">
        <f t="shared" si="269"/>
        <v>32048.44</v>
      </c>
      <c r="AJ529" s="43">
        <f t="shared" si="270"/>
        <v>1922906.4</v>
      </c>
      <c r="AK529" s="44">
        <f>VLOOKUP(D529,[1]apoio_Preços_MGS!$A$6:$AN$238,39,FALSE)</f>
        <v>200.00000000000003</v>
      </c>
      <c r="AL529" s="44">
        <f>IF(J529="demais municípios",VLOOKUP(D529,[1]apoio_Preços_MGS!$A$6:$AN$238,39,FALSE),0)</f>
        <v>200.00000000000003</v>
      </c>
      <c r="AM529" s="44">
        <v>0</v>
      </c>
      <c r="AN529" s="45">
        <f t="shared" ref="AN529:AN531" si="283">AK529*K529</f>
        <v>800.00000000000011</v>
      </c>
      <c r="AO529" s="44">
        <f>VLOOKUP(D529,[1]apoio_Preços_MGS!$A$6:$AN$238,40,FALSE)</f>
        <v>546.91999999999996</v>
      </c>
      <c r="AP529" s="44">
        <f>IF(J529="demais municípios",VLOOKUP(D529,[1]apoio_Preços_MGS!$A$6:$AN$238,40,FALSE),0)</f>
        <v>546.91999999999996</v>
      </c>
      <c r="AQ529" s="44">
        <v>0</v>
      </c>
      <c r="AR529" s="45">
        <f t="shared" ref="AR529:AR531" si="284">AO529*K529</f>
        <v>2187.6799999999998</v>
      </c>
      <c r="AS529" s="45">
        <f t="shared" si="277"/>
        <v>2987.68</v>
      </c>
      <c r="AT529" s="45">
        <f t="shared" si="280"/>
        <v>179260.79999999999</v>
      </c>
      <c r="AU529" s="62"/>
      <c r="AV529" s="46"/>
      <c r="AW529" s="47"/>
      <c r="AX529" s="48"/>
      <c r="AY529" s="49"/>
      <c r="BA529" s="48"/>
    </row>
    <row r="530" spans="1:53" ht="19.5" customHeight="1" x14ac:dyDescent="0.25">
      <c r="A530" s="33" t="str">
        <f t="shared" si="278"/>
        <v>106305440,03</v>
      </c>
      <c r="B530" s="33" t="str">
        <f t="shared" si="279"/>
        <v>11860,03</v>
      </c>
      <c r="C530" s="34" t="str">
        <f>VLOOKUP(D530,[1]apoio_Preços_MGS!$A$6:$B$238,2,FALSE)</f>
        <v>PORTEIRO</v>
      </c>
      <c r="D530" s="35">
        <v>1186</v>
      </c>
      <c r="E530" s="33" t="str">
        <f>VLOOKUP(D530,[1]apoio_Preços_MGS!$A$6:$F$238,6,FALSE)</f>
        <v>PORTEIRO (SUBS. ABSENT.) - (PERIC.) - DIARISTA DIURNO - 44H</v>
      </c>
      <c r="F530" s="36">
        <f>IFERROR(VLOOKUP(D530,'[1]apoio_cód catmas'!$B$2:$C$863,2,FALSE),0)</f>
        <v>106305</v>
      </c>
      <c r="G530" s="33" t="str">
        <f>IF(H530="N/A",VLOOKUP(F530&amp;40,'[1]apoio_cód catmas'!$A$1:$G$233,4,FALSE),VLOOKUP(F530&amp;H530,'[1]apoio_cód catmas'!$A$1:$G$233,4,FALSE))</f>
        <v>PORTEIRO (COM SUBSTITUICAO) - (PERICULOSIDADE)  - 30H, 36H,40H OU 44H</v>
      </c>
      <c r="H530" s="36">
        <v>44</v>
      </c>
      <c r="I530" s="37">
        <v>0.03</v>
      </c>
      <c r="J530" s="38" t="s">
        <v>46</v>
      </c>
      <c r="K530" s="39">
        <v>8</v>
      </c>
      <c r="L530" s="39">
        <f t="shared" si="265"/>
        <v>480</v>
      </c>
      <c r="M530" s="40">
        <f>VLOOKUP(D530,[1]apoio_Preços_MGS!$A$6:$AN$238,18,FALSE)</f>
        <v>2357.0108214597344</v>
      </c>
      <c r="N530" s="40">
        <f>VLOOKUP(D530,[1]apoio_Preços_MGS!$A$6:$AN$238,19,FALSE)</f>
        <v>707.10324643792035</v>
      </c>
      <c r="O530" s="40">
        <f>VLOOKUP(D530,[1]apoio_Preços_MGS!$A$6:$AN$238,20,FALSE)</f>
        <v>0</v>
      </c>
      <c r="P530" s="40">
        <f>VLOOKUP(D530,[1]apoio_Preços_MGS!$A$6:$AN$238,21,FALSE)</f>
        <v>0</v>
      </c>
      <c r="Q530" s="40">
        <f>VLOOKUP(D530,[1]apoio_Preços_MGS!$A$6:$AN$238,22,FALSE)</f>
        <v>0</v>
      </c>
      <c r="R530" s="40">
        <f>VLOOKUP(D530,[1]apoio_Preços_MGS!$A$6:$AN$238,23,FALSE)</f>
        <v>313.37530239862377</v>
      </c>
      <c r="S530" s="40">
        <f>VLOOKUP(D530,[1]apoio_Preços_MGS!$A$6:$AN$238,24,FALSE)</f>
        <v>0</v>
      </c>
      <c r="T530" s="40">
        <f>VLOOKUP(D530,[1]apoio_Preços_MGS!$A$6:$AN$238,25,FALSE)</f>
        <v>0</v>
      </c>
      <c r="U530" s="40">
        <f t="shared" si="273"/>
        <v>3377.4893702962786</v>
      </c>
      <c r="V530" s="41">
        <f>VLOOKUP(D530,[1]apoio_Preços_MGS!$A$6:$AN$238,27,FALSE)</f>
        <v>0.81799999999999995</v>
      </c>
      <c r="W530" s="40">
        <f t="shared" si="274"/>
        <v>2762.7863049023558</v>
      </c>
      <c r="X530" s="40">
        <f>VLOOKUP(D530,[1]apoio_Preços_MGS!$A$6:$AN$238,29,FALSE)</f>
        <v>52.672499999999992</v>
      </c>
      <c r="Y530" s="40">
        <f>VLOOKUP(D530,[1]apoio_Preços_MGS!$A$6:$AN$238,30,FALSE)</f>
        <v>1.721363914713578</v>
      </c>
      <c r="Z530" s="40">
        <f t="shared" si="266"/>
        <v>54.39386391471357</v>
      </c>
      <c r="AA530" s="40">
        <f>VLOOKUP(D530,[1]apoio_Preços_MGS!$A$6:$AN$238,32,FALSE)</f>
        <v>4.5254607772026896</v>
      </c>
      <c r="AB530" s="40">
        <f>VLOOKUP(D530,[1]apoio_Preços_MGS!$A$6:$AN$238,33,FALSE)</f>
        <v>114.60128756822279</v>
      </c>
      <c r="AC530" s="41">
        <f>VLOOKUP(D530,[1]apoio_Preços_MGS!$A$6:$AN$238,34,FALSE)</f>
        <v>4.314396214862351E-2</v>
      </c>
      <c r="AD530" s="40">
        <f>(U530+W530+Z530+AB530+AA530+VLOOKUP(C530,[1]apoio_Prec_Folha!$A:$S,7,FALSE))*AC530</f>
        <v>295.99874179277219</v>
      </c>
      <c r="AE530" s="42">
        <f>VLOOKUP(D530,[1]apoio_Preços_MGS!$A$6:$AN$238,36,FALSE)</f>
        <v>7.0000000000000007E-2</v>
      </c>
      <c r="AF530" s="40">
        <f>(U530+W530+Z530+AB530+AD530+AA530+VLOOKUP(C530,[1]apoio_Prec_Folha!$A:$S,7,FALSE))*AE530</f>
        <v>500.97047060430833</v>
      </c>
      <c r="AG530" s="40">
        <f t="shared" si="267"/>
        <v>7110.76</v>
      </c>
      <c r="AH530" s="43">
        <f t="shared" si="268"/>
        <v>8103.42</v>
      </c>
      <c r="AI530" s="43">
        <f t="shared" si="269"/>
        <v>64827.360000000001</v>
      </c>
      <c r="AJ530" s="43">
        <f t="shared" si="270"/>
        <v>3889641.6</v>
      </c>
      <c r="AK530" s="44">
        <f>VLOOKUP(D530,[1]apoio_Preços_MGS!$A$6:$AN$238,39,FALSE)</f>
        <v>200.00000000000003</v>
      </c>
      <c r="AL530" s="44">
        <f>IF(J530="demais municípios",VLOOKUP(D530,[1]apoio_Preços_MGS!$A$6:$AN$238,39,FALSE),0)</f>
        <v>200.00000000000003</v>
      </c>
      <c r="AM530" s="44">
        <v>0</v>
      </c>
      <c r="AN530" s="45">
        <f t="shared" si="283"/>
        <v>1600.0000000000002</v>
      </c>
      <c r="AO530" s="44">
        <f>VLOOKUP(D530,[1]apoio_Preços_MGS!$A$6:$AN$238,40,FALSE)</f>
        <v>546.91999999999996</v>
      </c>
      <c r="AP530" s="44">
        <f>IF(J530="demais municípios",VLOOKUP(D530,[1]apoio_Preços_MGS!$A$6:$AN$238,40,FALSE),0)</f>
        <v>546.91999999999996</v>
      </c>
      <c r="AQ530" s="44">
        <v>0</v>
      </c>
      <c r="AR530" s="45">
        <f t="shared" si="284"/>
        <v>4375.3599999999997</v>
      </c>
      <c r="AS530" s="45">
        <f t="shared" si="277"/>
        <v>5975.36</v>
      </c>
      <c r="AT530" s="45">
        <f t="shared" si="280"/>
        <v>358521.59999999998</v>
      </c>
      <c r="AU530" s="62"/>
      <c r="AV530" s="46"/>
      <c r="AW530" s="47"/>
      <c r="AX530" s="48"/>
      <c r="AY530" s="49"/>
      <c r="BA530" s="48"/>
    </row>
    <row r="531" spans="1:53" ht="19.5" customHeight="1" x14ac:dyDescent="0.25">
      <c r="A531" s="33" t="str">
        <f t="shared" si="278"/>
        <v>106305440,038</v>
      </c>
      <c r="B531" s="33" t="str">
        <f t="shared" si="279"/>
        <v>11860,038</v>
      </c>
      <c r="C531" s="34" t="str">
        <f>VLOOKUP(D531,[1]apoio_Preços_MGS!$A$6:$B$238,2,FALSE)</f>
        <v>PORTEIRO</v>
      </c>
      <c r="D531" s="35">
        <v>1186</v>
      </c>
      <c r="E531" s="33" t="str">
        <f>VLOOKUP(D531,[1]apoio_Preços_MGS!$A$6:$F$238,6,FALSE)</f>
        <v>PORTEIRO (SUBS. ABSENT.) - (PERIC.) - DIARISTA DIURNO - 44H</v>
      </c>
      <c r="F531" s="36">
        <f>IFERROR(VLOOKUP(D531,'[1]apoio_cód catmas'!$B$2:$C$863,2,FALSE),0)</f>
        <v>106305</v>
      </c>
      <c r="G531" s="33" t="str">
        <f>IF(H531="N/A",VLOOKUP(F531&amp;40,'[1]apoio_cód catmas'!$A$1:$G$233,4,FALSE),VLOOKUP(F531&amp;H531,'[1]apoio_cód catmas'!$A$1:$G$233,4,FALSE))</f>
        <v>PORTEIRO (COM SUBSTITUICAO) - (PERICULOSIDADE)  - 30H, 36H,40H OU 44H</v>
      </c>
      <c r="H531" s="36">
        <v>44</v>
      </c>
      <c r="I531" s="37">
        <v>3.7999999999999999E-2</v>
      </c>
      <c r="J531" s="38" t="s">
        <v>46</v>
      </c>
      <c r="K531" s="39">
        <v>2</v>
      </c>
      <c r="L531" s="39">
        <f t="shared" si="265"/>
        <v>120</v>
      </c>
      <c r="M531" s="40">
        <f>VLOOKUP(D531,[1]apoio_Preços_MGS!$A$6:$AN$238,18,FALSE)</f>
        <v>2357.0108214597344</v>
      </c>
      <c r="N531" s="40">
        <f>VLOOKUP(D531,[1]apoio_Preços_MGS!$A$6:$AN$238,19,FALSE)</f>
        <v>707.10324643792035</v>
      </c>
      <c r="O531" s="40">
        <f>VLOOKUP(D531,[1]apoio_Preços_MGS!$A$6:$AN$238,20,FALSE)</f>
        <v>0</v>
      </c>
      <c r="P531" s="40">
        <f>VLOOKUP(D531,[1]apoio_Preços_MGS!$A$6:$AN$238,21,FALSE)</f>
        <v>0</v>
      </c>
      <c r="Q531" s="40">
        <f>VLOOKUP(D531,[1]apoio_Preços_MGS!$A$6:$AN$238,22,FALSE)</f>
        <v>0</v>
      </c>
      <c r="R531" s="40">
        <f>VLOOKUP(D531,[1]apoio_Preços_MGS!$A$6:$AN$238,23,FALSE)</f>
        <v>313.37530239862377</v>
      </c>
      <c r="S531" s="40">
        <f>VLOOKUP(D531,[1]apoio_Preços_MGS!$A$6:$AN$238,24,FALSE)</f>
        <v>0</v>
      </c>
      <c r="T531" s="40">
        <f>VLOOKUP(D531,[1]apoio_Preços_MGS!$A$6:$AN$238,25,FALSE)</f>
        <v>0</v>
      </c>
      <c r="U531" s="40">
        <f t="shared" si="273"/>
        <v>3377.4893702962786</v>
      </c>
      <c r="V531" s="41">
        <f>VLOOKUP(D531,[1]apoio_Preços_MGS!$A$6:$AN$238,27,FALSE)</f>
        <v>0.81799999999999995</v>
      </c>
      <c r="W531" s="40">
        <f t="shared" si="274"/>
        <v>2762.7863049023558</v>
      </c>
      <c r="X531" s="40">
        <f>VLOOKUP(D531,[1]apoio_Preços_MGS!$A$6:$AN$238,29,FALSE)</f>
        <v>52.672499999999992</v>
      </c>
      <c r="Y531" s="40">
        <f>VLOOKUP(D531,[1]apoio_Preços_MGS!$A$6:$AN$238,30,FALSE)</f>
        <v>1.721363914713578</v>
      </c>
      <c r="Z531" s="40">
        <f t="shared" si="266"/>
        <v>54.39386391471357</v>
      </c>
      <c r="AA531" s="40">
        <f>VLOOKUP(D531,[1]apoio_Preços_MGS!$A$6:$AN$238,32,FALSE)</f>
        <v>4.5254607772026896</v>
      </c>
      <c r="AB531" s="40">
        <f>VLOOKUP(D531,[1]apoio_Preços_MGS!$A$6:$AN$238,33,FALSE)</f>
        <v>114.60128756822279</v>
      </c>
      <c r="AC531" s="41">
        <f>VLOOKUP(D531,[1]apoio_Preços_MGS!$A$6:$AN$238,34,FALSE)</f>
        <v>4.314396214862351E-2</v>
      </c>
      <c r="AD531" s="40">
        <f>(U531+W531+Z531+AB531+AA531+VLOOKUP(C531,[1]apoio_Prec_Folha!$A:$S,7,FALSE))*AC531</f>
        <v>295.99874179277219</v>
      </c>
      <c r="AE531" s="42">
        <f>VLOOKUP(D531,[1]apoio_Preços_MGS!$A$6:$AN$238,36,FALSE)</f>
        <v>7.0000000000000007E-2</v>
      </c>
      <c r="AF531" s="40">
        <f>(U531+W531+Z531+AB531+AD531+AA531+VLOOKUP(C531,[1]apoio_Prec_Folha!$A:$S,7,FALSE))*AE531</f>
        <v>500.97047060430833</v>
      </c>
      <c r="AG531" s="40">
        <f t="shared" si="267"/>
        <v>7110.76</v>
      </c>
      <c r="AH531" s="43">
        <f t="shared" si="268"/>
        <v>8178.01</v>
      </c>
      <c r="AI531" s="43">
        <f t="shared" si="269"/>
        <v>16356.02</v>
      </c>
      <c r="AJ531" s="43">
        <f t="shared" si="270"/>
        <v>981361.20000000007</v>
      </c>
      <c r="AK531" s="44">
        <f>VLOOKUP(D531,[1]apoio_Preços_MGS!$A$6:$AN$238,39,FALSE)</f>
        <v>200.00000000000003</v>
      </c>
      <c r="AL531" s="44">
        <f>IF(J531="demais municípios",VLOOKUP(D531,[1]apoio_Preços_MGS!$A$6:$AN$238,39,FALSE),0)</f>
        <v>200.00000000000003</v>
      </c>
      <c r="AM531" s="44">
        <v>0</v>
      </c>
      <c r="AN531" s="45">
        <f t="shared" si="283"/>
        <v>400.00000000000006</v>
      </c>
      <c r="AO531" s="44">
        <f>VLOOKUP(D531,[1]apoio_Preços_MGS!$A$6:$AN$238,40,FALSE)</f>
        <v>546.91999999999996</v>
      </c>
      <c r="AP531" s="44">
        <f>IF(J531="demais municípios",VLOOKUP(D531,[1]apoio_Preços_MGS!$A$6:$AN$238,40,FALSE),0)</f>
        <v>546.91999999999996</v>
      </c>
      <c r="AQ531" s="44">
        <v>0</v>
      </c>
      <c r="AR531" s="45">
        <f t="shared" si="284"/>
        <v>1093.8399999999999</v>
      </c>
      <c r="AS531" s="45">
        <f t="shared" si="277"/>
        <v>1493.84</v>
      </c>
      <c r="AT531" s="45">
        <f t="shared" si="280"/>
        <v>89630.399999999994</v>
      </c>
      <c r="AU531" s="62"/>
      <c r="AV531" s="46"/>
      <c r="AW531" s="47"/>
      <c r="AX531" s="48"/>
      <c r="AY531" s="49"/>
      <c r="BA531" s="48"/>
    </row>
    <row r="532" spans="1:53" ht="19.5" customHeight="1" x14ac:dyDescent="0.25">
      <c r="A532" s="33" t="str">
        <f t="shared" si="278"/>
        <v>106305440,05</v>
      </c>
      <c r="B532" s="33" t="str">
        <f t="shared" si="279"/>
        <v>11860,05</v>
      </c>
      <c r="C532" s="34" t="str">
        <f>VLOOKUP(D532,[1]apoio_Preços_MGS!$A$6:$B$238,2,FALSE)</f>
        <v>PORTEIRO</v>
      </c>
      <c r="D532" s="35">
        <v>1186</v>
      </c>
      <c r="E532" s="33" t="str">
        <f>VLOOKUP(D532,[1]apoio_Preços_MGS!$A$6:$F$238,6,FALSE)</f>
        <v>PORTEIRO (SUBS. ABSENT.) - (PERIC.) - DIARISTA DIURNO - 44H</v>
      </c>
      <c r="F532" s="36">
        <f>IFERROR(VLOOKUP(D532,'[1]apoio_cód catmas'!$B$2:$C$863,2,FALSE),0)</f>
        <v>106305</v>
      </c>
      <c r="G532" s="33" t="str">
        <f>IF(H532="N/A",VLOOKUP(F532&amp;40,'[1]apoio_cód catmas'!$A$1:$G$233,4,FALSE),VLOOKUP(F532&amp;H532,'[1]apoio_cód catmas'!$A$1:$G$233,4,FALSE))</f>
        <v>PORTEIRO (COM SUBSTITUICAO) - (PERICULOSIDADE)  - 30H, 36H,40H OU 44H</v>
      </c>
      <c r="H532" s="36">
        <v>44</v>
      </c>
      <c r="I532" s="37">
        <v>0.05</v>
      </c>
      <c r="J532" s="38" t="s">
        <v>47</v>
      </c>
      <c r="K532" s="39">
        <v>4</v>
      </c>
      <c r="L532" s="39">
        <f t="shared" si="265"/>
        <v>240</v>
      </c>
      <c r="M532" s="40">
        <f>VLOOKUP(D532,[1]apoio_Preços_MGS!$A$6:$AN$238,18,FALSE)</f>
        <v>2357.0108214597344</v>
      </c>
      <c r="N532" s="40">
        <f>VLOOKUP(D532,[1]apoio_Preços_MGS!$A$6:$AN$238,19,FALSE)</f>
        <v>707.10324643792035</v>
      </c>
      <c r="O532" s="40">
        <f>VLOOKUP(D532,[1]apoio_Preços_MGS!$A$6:$AN$238,20,FALSE)</f>
        <v>0</v>
      </c>
      <c r="P532" s="40">
        <f>VLOOKUP(D532,[1]apoio_Preços_MGS!$A$6:$AN$238,21,FALSE)</f>
        <v>0</v>
      </c>
      <c r="Q532" s="40">
        <f>VLOOKUP(D532,[1]apoio_Preços_MGS!$A$6:$AN$238,22,FALSE)</f>
        <v>0</v>
      </c>
      <c r="R532" s="40">
        <f>VLOOKUP(D532,[1]apoio_Preços_MGS!$A$6:$AN$238,23,FALSE)</f>
        <v>313.37530239862377</v>
      </c>
      <c r="S532" s="40">
        <f>VLOOKUP(D532,[1]apoio_Preços_MGS!$A$6:$AN$238,24,FALSE)</f>
        <v>0</v>
      </c>
      <c r="T532" s="40">
        <f>VLOOKUP(D532,[1]apoio_Preços_MGS!$A$6:$AN$238,25,FALSE)</f>
        <v>0</v>
      </c>
      <c r="U532" s="40">
        <f t="shared" si="273"/>
        <v>3377.4893702962786</v>
      </c>
      <c r="V532" s="41">
        <f>VLOOKUP(D532,[1]apoio_Preços_MGS!$A$6:$AN$238,27,FALSE)</f>
        <v>0.81799999999999995</v>
      </c>
      <c r="W532" s="40">
        <f t="shared" si="274"/>
        <v>2762.7863049023558</v>
      </c>
      <c r="X532" s="40">
        <f>VLOOKUP(D532,[1]apoio_Preços_MGS!$A$6:$AN$238,29,FALSE)</f>
        <v>52.672499999999992</v>
      </c>
      <c r="Y532" s="40">
        <f>VLOOKUP(D532,[1]apoio_Preços_MGS!$A$6:$AN$238,30,FALSE)</f>
        <v>1.721363914713578</v>
      </c>
      <c r="Z532" s="40">
        <f t="shared" si="266"/>
        <v>54.39386391471357</v>
      </c>
      <c r="AA532" s="40">
        <f>VLOOKUP(D532,[1]apoio_Preços_MGS!$A$6:$AN$238,32,FALSE)</f>
        <v>4.5254607772026896</v>
      </c>
      <c r="AB532" s="40">
        <f>VLOOKUP(D532,[1]apoio_Preços_MGS!$A$6:$AN$238,33,FALSE)</f>
        <v>114.60128756822279</v>
      </c>
      <c r="AC532" s="41">
        <f>VLOOKUP(D532,[1]apoio_Preços_MGS!$A$6:$AN$238,34,FALSE)</f>
        <v>4.314396214862351E-2</v>
      </c>
      <c r="AD532" s="40">
        <f>(U532+W532+Z532+AB532+AA532+VLOOKUP(C532,[1]apoio_Prec_Folha!$A:$S,7,FALSE))*AC532</f>
        <v>295.99874179277219</v>
      </c>
      <c r="AE532" s="42">
        <f>VLOOKUP(D532,[1]apoio_Preços_MGS!$A$6:$AN$238,36,FALSE)</f>
        <v>7.0000000000000007E-2</v>
      </c>
      <c r="AF532" s="40">
        <f>(U532+W532+Z532+AB532+AD532+AA532+VLOOKUP(C532,[1]apoio_Prec_Folha!$A:$S,7,FALSE))*AE532</f>
        <v>500.97047060430833</v>
      </c>
      <c r="AG532" s="40">
        <f t="shared" si="267"/>
        <v>7110.76</v>
      </c>
      <c r="AH532" s="43">
        <f t="shared" si="268"/>
        <v>8292.42</v>
      </c>
      <c r="AI532" s="43">
        <f t="shared" si="269"/>
        <v>33169.68</v>
      </c>
      <c r="AJ532" s="43">
        <f t="shared" si="270"/>
        <v>1990180.8</v>
      </c>
      <c r="AK532" s="44">
        <f>VLOOKUP(D532,[1]apoio_Preços_MGS!$A$6:$AN$238,39,FALSE)</f>
        <v>200.00000000000003</v>
      </c>
      <c r="AL532" s="44">
        <f>IF(J532="demais municípios",VLOOKUP(D532,[1]apoio_Preços_MGS!$A$6:$AN$238,39,FALSE),0)</f>
        <v>0</v>
      </c>
      <c r="AM532" s="44">
        <f>TRUNC(ROUND(($I532)/(1-($I532)),5)*VLOOKUP(D532,[1]apoio_Preços_MGS!$A$6:$AN$238,39,FALSE)+VLOOKUP(D532,[1]apoio_Preços_MGS!$A$6:$AN$238,39,FALSE),2)</f>
        <v>210.52</v>
      </c>
      <c r="AN532" s="45">
        <f t="shared" si="281"/>
        <v>842.08</v>
      </c>
      <c r="AO532" s="44">
        <f>VLOOKUP(D532,[1]apoio_Preços_MGS!$A$6:$AN$238,40,FALSE)</f>
        <v>546.91999999999996</v>
      </c>
      <c r="AP532" s="44">
        <f>IF(J532="demais municípios",VLOOKUP(D532,[1]apoio_Preços_MGS!$A$6:$AN$238,40,FALSE),0)</f>
        <v>0</v>
      </c>
      <c r="AQ532" s="44">
        <f>TRUNC(ROUND(($I532)/(1-($I532)),5)*VLOOKUP(D532,[1]apoio_Preços_MGS!$A$6:$AN$238,40,FALSE)+VLOOKUP(D532,[1]apoio_Preços_MGS!$A$6:$AN$238,40,FALSE),2)</f>
        <v>575.70000000000005</v>
      </c>
      <c r="AR532" s="45">
        <f t="shared" si="282"/>
        <v>2302.8000000000002</v>
      </c>
      <c r="AS532" s="45">
        <f t="shared" si="277"/>
        <v>3144.88</v>
      </c>
      <c r="AT532" s="45">
        <f t="shared" si="280"/>
        <v>188692.80000000002</v>
      </c>
      <c r="AU532" s="62"/>
      <c r="AV532" s="46"/>
      <c r="AW532" s="47"/>
      <c r="AX532" s="48"/>
      <c r="AY532" s="49"/>
      <c r="BA532" s="48"/>
    </row>
    <row r="533" spans="1:53" ht="19.5" customHeight="1" x14ac:dyDescent="0.25">
      <c r="A533" s="33" t="str">
        <f t="shared" si="278"/>
        <v>106313440,02</v>
      </c>
      <c r="B533" s="33" t="str">
        <f t="shared" si="279"/>
        <v>11840,02</v>
      </c>
      <c r="C533" s="34" t="str">
        <f>VLOOKUP(D533,[1]apoio_Preços_MGS!$A$6:$B$238,2,FALSE)</f>
        <v>PORTEIRO</v>
      </c>
      <c r="D533" s="35">
        <v>1184</v>
      </c>
      <c r="E533" s="33" t="str">
        <f>VLOOKUP(D533,[1]apoio_Preços_MGS!$A$6:$F$238,6,FALSE)</f>
        <v>PORTEIRO (SUBS. ABSENT.) - (PERIC.) - 12x36 DIURNO - 44H</v>
      </c>
      <c r="F533" s="36">
        <f>IFERROR(VLOOKUP(D533,'[1]apoio_cód catmas'!$B$2:$C$863,2,FALSE),0)</f>
        <v>106313</v>
      </c>
      <c r="G533" s="33" t="str">
        <f>IF(H533="N/A",VLOOKUP(F533&amp;40,'[1]apoio_cód catmas'!$A$1:$G$233,4,FALSE),VLOOKUP(F533&amp;H533,'[1]apoio_cód catmas'!$A$1:$G$233,4,FALSE))</f>
        <v>PORTEIRO (COM SUBSTITUICAO) - (PERICULOSIDADE) - 12X36 DIURNO - 44 HORAS</v>
      </c>
      <c r="H533" s="36">
        <v>44</v>
      </c>
      <c r="I533" s="37">
        <v>0.02</v>
      </c>
      <c r="J533" s="38" t="s">
        <v>46</v>
      </c>
      <c r="K533" s="39">
        <v>12</v>
      </c>
      <c r="L533" s="39">
        <f t="shared" si="265"/>
        <v>720</v>
      </c>
      <c r="M533" s="40">
        <f>VLOOKUP(D533,[1]apoio_Preços_MGS!$A$6:$AN$238,18,FALSE)</f>
        <v>2357.0108214597344</v>
      </c>
      <c r="N533" s="40">
        <f>VLOOKUP(D533,[1]apoio_Preços_MGS!$A$6:$AN$238,19,FALSE)</f>
        <v>707.10324643792035</v>
      </c>
      <c r="O533" s="40">
        <f>VLOOKUP(D533,[1]apoio_Preços_MGS!$A$6:$AN$238,20,FALSE)</f>
        <v>0</v>
      </c>
      <c r="P533" s="40">
        <f>VLOOKUP(D533,[1]apoio_Preços_MGS!$A$6:$AN$238,21,FALSE)</f>
        <v>0</v>
      </c>
      <c r="Q533" s="40">
        <f>VLOOKUP(D533,[1]apoio_Preços_MGS!$A$6:$AN$238,22,FALSE)</f>
        <v>0</v>
      </c>
      <c r="R533" s="40">
        <f>VLOOKUP(D533,[1]apoio_Preços_MGS!$A$6:$AN$238,23,FALSE)</f>
        <v>328.29793584617732</v>
      </c>
      <c r="S533" s="40">
        <f>VLOOKUP(D533,[1]apoio_Preços_MGS!$A$6:$AN$238,24,FALSE)</f>
        <v>0</v>
      </c>
      <c r="T533" s="40">
        <f>VLOOKUP(D533,[1]apoio_Preços_MGS!$A$6:$AN$238,25,FALSE)</f>
        <v>4.2557139831911872</v>
      </c>
      <c r="U533" s="40">
        <f t="shared" si="273"/>
        <v>3396.6677177270235</v>
      </c>
      <c r="V533" s="41">
        <f>VLOOKUP(D533,[1]apoio_Preços_MGS!$A$6:$AN$238,27,FALSE)</f>
        <v>0.81799999999999995</v>
      </c>
      <c r="W533" s="40">
        <f t="shared" si="274"/>
        <v>2778.4741931007052</v>
      </c>
      <c r="X533" s="40">
        <f>VLOOKUP(D533,[1]apoio_Preços_MGS!$A$6:$AN$238,29,FALSE)</f>
        <v>52.672499999999992</v>
      </c>
      <c r="Y533" s="40">
        <f>VLOOKUP(D533,[1]apoio_Preços_MGS!$A$6:$AN$238,30,FALSE)</f>
        <v>1.721363914713578</v>
      </c>
      <c r="Z533" s="40">
        <f t="shared" si="266"/>
        <v>54.39386391471357</v>
      </c>
      <c r="AA533" s="40">
        <f>VLOOKUP(D533,[1]apoio_Preços_MGS!$A$6:$AN$238,32,FALSE)</f>
        <v>4.5254607772026896</v>
      </c>
      <c r="AB533" s="40">
        <f>VLOOKUP(D533,[1]apoio_Preços_MGS!$A$6:$AN$238,33,FALSE)</f>
        <v>114.60128756822279</v>
      </c>
      <c r="AC533" s="41">
        <f>VLOOKUP(D533,[1]apoio_Preços_MGS!$A$6:$AN$238,34,FALSE)</f>
        <v>4.314396214862351E-2</v>
      </c>
      <c r="AD533" s="40">
        <f>(U533+W533+Z533+AB533+AA533+VLOOKUP(C533,[1]apoio_Prec_Folha!$A:$S,7,FALSE))*AC533</f>
        <v>297.50300934301885</v>
      </c>
      <c r="AE533" s="42">
        <f>VLOOKUP(D533,[1]apoio_Preços_MGS!$A$6:$AN$238,36,FALSE)</f>
        <v>7.0000000000000007E-2</v>
      </c>
      <c r="AF533" s="40">
        <f>(U533+W533+Z533+AB533+AD533+AA533+VLOOKUP(C533,[1]apoio_Prec_Folha!$A:$S,7,FALSE))*AE533</f>
        <v>503.51640582686213</v>
      </c>
      <c r="AG533" s="40">
        <f t="shared" si="267"/>
        <v>7149.68</v>
      </c>
      <c r="AH533" s="43">
        <f t="shared" si="268"/>
        <v>8055.97</v>
      </c>
      <c r="AI533" s="43">
        <f t="shared" si="269"/>
        <v>96671.64</v>
      </c>
      <c r="AJ533" s="43">
        <f t="shared" si="270"/>
        <v>5800298.4000000004</v>
      </c>
      <c r="AK533" s="44">
        <f>VLOOKUP(D533,[1]apoio_Preços_MGS!$A$6:$AN$238,39,FALSE)</f>
        <v>200.00000000000003</v>
      </c>
      <c r="AL533" s="44">
        <f>IF(J533="demais municípios",VLOOKUP(D533,[1]apoio_Preços_MGS!$A$6:$AN$238,39,FALSE),0)</f>
        <v>200.00000000000003</v>
      </c>
      <c r="AM533" s="44">
        <v>0</v>
      </c>
      <c r="AN533" s="45">
        <f t="shared" ref="AN533:AN535" si="285">AK533*K533</f>
        <v>2400.0000000000005</v>
      </c>
      <c r="AO533" s="44">
        <f>VLOOKUP(D533,[1]apoio_Preços_MGS!$A$6:$AN$238,40,FALSE)</f>
        <v>546.91999999999996</v>
      </c>
      <c r="AP533" s="44">
        <f>IF(J533="demais municípios",VLOOKUP(D533,[1]apoio_Preços_MGS!$A$6:$AN$238,40,FALSE),0)</f>
        <v>546.91999999999996</v>
      </c>
      <c r="AQ533" s="44">
        <v>0</v>
      </c>
      <c r="AR533" s="45">
        <f t="shared" ref="AR533:AR535" si="286">AO533*K533</f>
        <v>6563.0399999999991</v>
      </c>
      <c r="AS533" s="45">
        <f t="shared" si="277"/>
        <v>8963.0399999999991</v>
      </c>
      <c r="AT533" s="45">
        <f t="shared" si="280"/>
        <v>537782.39999999991</v>
      </c>
      <c r="AU533" s="62"/>
      <c r="AV533" s="46"/>
      <c r="AW533" s="47"/>
      <c r="AX533" s="48"/>
      <c r="AY533" s="49"/>
      <c r="BA533" s="48"/>
    </row>
    <row r="534" spans="1:53" ht="19.5" customHeight="1" x14ac:dyDescent="0.25">
      <c r="A534" s="33" t="str">
        <f t="shared" si="278"/>
        <v>106313440,03</v>
      </c>
      <c r="B534" s="33" t="str">
        <f t="shared" si="279"/>
        <v>11840,03</v>
      </c>
      <c r="C534" s="34" t="str">
        <f>VLOOKUP(D534,[1]apoio_Preços_MGS!$A$6:$B$238,2,FALSE)</f>
        <v>PORTEIRO</v>
      </c>
      <c r="D534" s="35">
        <v>1184</v>
      </c>
      <c r="E534" s="33" t="str">
        <f>VLOOKUP(D534,[1]apoio_Preços_MGS!$A$6:$F$238,6,FALSE)</f>
        <v>PORTEIRO (SUBS. ABSENT.) - (PERIC.) - 12x36 DIURNO - 44H</v>
      </c>
      <c r="F534" s="36">
        <f>IFERROR(VLOOKUP(D534,'[1]apoio_cód catmas'!$B$2:$C$863,2,FALSE),0)</f>
        <v>106313</v>
      </c>
      <c r="G534" s="33" t="str">
        <f>IF(H534="N/A",VLOOKUP(F534&amp;40,'[1]apoio_cód catmas'!$A$1:$G$233,4,FALSE),VLOOKUP(F534&amp;H534,'[1]apoio_cód catmas'!$A$1:$G$233,4,FALSE))</f>
        <v>PORTEIRO (COM SUBSTITUICAO) - (PERICULOSIDADE) - 12X36 DIURNO - 44 HORAS</v>
      </c>
      <c r="H534" s="36">
        <v>44</v>
      </c>
      <c r="I534" s="37">
        <v>0.03</v>
      </c>
      <c r="J534" s="38" t="s">
        <v>46</v>
      </c>
      <c r="K534" s="39">
        <v>7</v>
      </c>
      <c r="L534" s="39">
        <f t="shared" si="265"/>
        <v>420</v>
      </c>
      <c r="M534" s="40">
        <f>VLOOKUP(D534,[1]apoio_Preços_MGS!$A$6:$AN$238,18,FALSE)</f>
        <v>2357.0108214597344</v>
      </c>
      <c r="N534" s="40">
        <f>VLOOKUP(D534,[1]apoio_Preços_MGS!$A$6:$AN$238,19,FALSE)</f>
        <v>707.10324643792035</v>
      </c>
      <c r="O534" s="40">
        <f>VLOOKUP(D534,[1]apoio_Preços_MGS!$A$6:$AN$238,20,FALSE)</f>
        <v>0</v>
      </c>
      <c r="P534" s="40">
        <f>VLOOKUP(D534,[1]apoio_Preços_MGS!$A$6:$AN$238,21,FALSE)</f>
        <v>0</v>
      </c>
      <c r="Q534" s="40">
        <f>VLOOKUP(D534,[1]apoio_Preços_MGS!$A$6:$AN$238,22,FALSE)</f>
        <v>0</v>
      </c>
      <c r="R534" s="40">
        <f>VLOOKUP(D534,[1]apoio_Preços_MGS!$A$6:$AN$238,23,FALSE)</f>
        <v>328.29793584617732</v>
      </c>
      <c r="S534" s="40">
        <f>VLOOKUP(D534,[1]apoio_Preços_MGS!$A$6:$AN$238,24,FALSE)</f>
        <v>0</v>
      </c>
      <c r="T534" s="40">
        <f>VLOOKUP(D534,[1]apoio_Preços_MGS!$A$6:$AN$238,25,FALSE)</f>
        <v>4.2557139831911872</v>
      </c>
      <c r="U534" s="40">
        <f t="shared" si="273"/>
        <v>3396.6677177270235</v>
      </c>
      <c r="V534" s="41">
        <f>VLOOKUP(D534,[1]apoio_Preços_MGS!$A$6:$AN$238,27,FALSE)</f>
        <v>0.81799999999999995</v>
      </c>
      <c r="W534" s="40">
        <f t="shared" si="274"/>
        <v>2778.4741931007052</v>
      </c>
      <c r="X534" s="40">
        <f>VLOOKUP(D534,[1]apoio_Preços_MGS!$A$6:$AN$238,29,FALSE)</f>
        <v>52.672499999999992</v>
      </c>
      <c r="Y534" s="40">
        <f>VLOOKUP(D534,[1]apoio_Preços_MGS!$A$6:$AN$238,30,FALSE)</f>
        <v>1.721363914713578</v>
      </c>
      <c r="Z534" s="40">
        <f t="shared" si="266"/>
        <v>54.39386391471357</v>
      </c>
      <c r="AA534" s="40">
        <f>VLOOKUP(D534,[1]apoio_Preços_MGS!$A$6:$AN$238,32,FALSE)</f>
        <v>4.5254607772026896</v>
      </c>
      <c r="AB534" s="40">
        <f>VLOOKUP(D534,[1]apoio_Preços_MGS!$A$6:$AN$238,33,FALSE)</f>
        <v>114.60128756822279</v>
      </c>
      <c r="AC534" s="41">
        <f>VLOOKUP(D534,[1]apoio_Preços_MGS!$A$6:$AN$238,34,FALSE)</f>
        <v>4.314396214862351E-2</v>
      </c>
      <c r="AD534" s="40">
        <f>(U534+W534+Z534+AB534+AA534+VLOOKUP(C534,[1]apoio_Prec_Folha!$A:$S,7,FALSE))*AC534</f>
        <v>297.50300934301885</v>
      </c>
      <c r="AE534" s="42">
        <f>VLOOKUP(D534,[1]apoio_Preços_MGS!$A$6:$AN$238,36,FALSE)</f>
        <v>7.0000000000000007E-2</v>
      </c>
      <c r="AF534" s="40">
        <f>(U534+W534+Z534+AB534+AD534+AA534+VLOOKUP(C534,[1]apoio_Prec_Folha!$A:$S,7,FALSE))*AE534</f>
        <v>503.51640582686213</v>
      </c>
      <c r="AG534" s="40">
        <f t="shared" si="267"/>
        <v>7149.68</v>
      </c>
      <c r="AH534" s="43">
        <f t="shared" si="268"/>
        <v>8147.77</v>
      </c>
      <c r="AI534" s="43">
        <f t="shared" si="269"/>
        <v>57034.39</v>
      </c>
      <c r="AJ534" s="43">
        <f t="shared" si="270"/>
        <v>3422063.4000000004</v>
      </c>
      <c r="AK534" s="44">
        <f>VLOOKUP(D534,[1]apoio_Preços_MGS!$A$6:$AN$238,39,FALSE)</f>
        <v>200.00000000000003</v>
      </c>
      <c r="AL534" s="44">
        <f>IF(J534="demais municípios",VLOOKUP(D534,[1]apoio_Preços_MGS!$A$6:$AN$238,39,FALSE),0)</f>
        <v>200.00000000000003</v>
      </c>
      <c r="AM534" s="44">
        <v>0</v>
      </c>
      <c r="AN534" s="45">
        <f t="shared" si="285"/>
        <v>1400.0000000000002</v>
      </c>
      <c r="AO534" s="44">
        <f>VLOOKUP(D534,[1]apoio_Preços_MGS!$A$6:$AN$238,40,FALSE)</f>
        <v>546.91999999999996</v>
      </c>
      <c r="AP534" s="44">
        <f>IF(J534="demais municípios",VLOOKUP(D534,[1]apoio_Preços_MGS!$A$6:$AN$238,40,FALSE),0)</f>
        <v>546.91999999999996</v>
      </c>
      <c r="AQ534" s="44">
        <v>0</v>
      </c>
      <c r="AR534" s="45">
        <f t="shared" si="286"/>
        <v>3828.4399999999996</v>
      </c>
      <c r="AS534" s="45">
        <f t="shared" si="277"/>
        <v>5228.4399999999996</v>
      </c>
      <c r="AT534" s="45">
        <f t="shared" si="280"/>
        <v>313706.39999999997</v>
      </c>
      <c r="AU534" s="62"/>
      <c r="AV534" s="46"/>
      <c r="AW534" s="47"/>
      <c r="AX534" s="48"/>
      <c r="AY534" s="49"/>
      <c r="BA534" s="48"/>
    </row>
    <row r="535" spans="1:53" ht="19.5" customHeight="1" x14ac:dyDescent="0.25">
      <c r="A535" s="33" t="str">
        <f t="shared" si="278"/>
        <v>106313440,038</v>
      </c>
      <c r="B535" s="33" t="str">
        <f t="shared" si="279"/>
        <v>11840,038</v>
      </c>
      <c r="C535" s="34" t="str">
        <f>VLOOKUP(D535,[1]apoio_Preços_MGS!$A$6:$B$238,2,FALSE)</f>
        <v>PORTEIRO</v>
      </c>
      <c r="D535" s="35">
        <v>1184</v>
      </c>
      <c r="E535" s="33" t="str">
        <f>VLOOKUP(D535,[1]apoio_Preços_MGS!$A$6:$F$238,6,FALSE)</f>
        <v>PORTEIRO (SUBS. ABSENT.) - (PERIC.) - 12x36 DIURNO - 44H</v>
      </c>
      <c r="F535" s="36">
        <f>IFERROR(VLOOKUP(D535,'[1]apoio_cód catmas'!$B$2:$C$863,2,FALSE),0)</f>
        <v>106313</v>
      </c>
      <c r="G535" s="33" t="str">
        <f>IF(H535="N/A",VLOOKUP(F535&amp;40,'[1]apoio_cód catmas'!$A$1:$G$233,4,FALSE),VLOOKUP(F535&amp;H535,'[1]apoio_cód catmas'!$A$1:$G$233,4,FALSE))</f>
        <v>PORTEIRO (COM SUBSTITUICAO) - (PERICULOSIDADE) - 12X36 DIURNO - 44 HORAS</v>
      </c>
      <c r="H535" s="36">
        <v>44</v>
      </c>
      <c r="I535" s="37">
        <v>3.7999999999999999E-2</v>
      </c>
      <c r="J535" s="38" t="s">
        <v>46</v>
      </c>
      <c r="K535" s="39">
        <v>14</v>
      </c>
      <c r="L535" s="39">
        <f t="shared" si="265"/>
        <v>840</v>
      </c>
      <c r="M535" s="40">
        <f>VLOOKUP(D535,[1]apoio_Preços_MGS!$A$6:$AN$238,18,FALSE)</f>
        <v>2357.0108214597344</v>
      </c>
      <c r="N535" s="40">
        <f>VLOOKUP(D535,[1]apoio_Preços_MGS!$A$6:$AN$238,19,FALSE)</f>
        <v>707.10324643792035</v>
      </c>
      <c r="O535" s="40">
        <f>VLOOKUP(D535,[1]apoio_Preços_MGS!$A$6:$AN$238,20,FALSE)</f>
        <v>0</v>
      </c>
      <c r="P535" s="40">
        <f>VLOOKUP(D535,[1]apoio_Preços_MGS!$A$6:$AN$238,21,FALSE)</f>
        <v>0</v>
      </c>
      <c r="Q535" s="40">
        <f>VLOOKUP(D535,[1]apoio_Preços_MGS!$A$6:$AN$238,22,FALSE)</f>
        <v>0</v>
      </c>
      <c r="R535" s="40">
        <f>VLOOKUP(D535,[1]apoio_Preços_MGS!$A$6:$AN$238,23,FALSE)</f>
        <v>328.29793584617732</v>
      </c>
      <c r="S535" s="40">
        <f>VLOOKUP(D535,[1]apoio_Preços_MGS!$A$6:$AN$238,24,FALSE)</f>
        <v>0</v>
      </c>
      <c r="T535" s="40">
        <f>VLOOKUP(D535,[1]apoio_Preços_MGS!$A$6:$AN$238,25,FALSE)</f>
        <v>4.2557139831911872</v>
      </c>
      <c r="U535" s="40">
        <f t="shared" si="273"/>
        <v>3396.6677177270235</v>
      </c>
      <c r="V535" s="41">
        <f>VLOOKUP(D535,[1]apoio_Preços_MGS!$A$6:$AN$238,27,FALSE)</f>
        <v>0.81799999999999995</v>
      </c>
      <c r="W535" s="40">
        <f t="shared" si="274"/>
        <v>2778.4741931007052</v>
      </c>
      <c r="X535" s="40">
        <f>VLOOKUP(D535,[1]apoio_Preços_MGS!$A$6:$AN$238,29,FALSE)</f>
        <v>52.672499999999992</v>
      </c>
      <c r="Y535" s="40">
        <f>VLOOKUP(D535,[1]apoio_Preços_MGS!$A$6:$AN$238,30,FALSE)</f>
        <v>1.721363914713578</v>
      </c>
      <c r="Z535" s="40">
        <f t="shared" si="266"/>
        <v>54.39386391471357</v>
      </c>
      <c r="AA535" s="40">
        <f>VLOOKUP(D535,[1]apoio_Preços_MGS!$A$6:$AN$238,32,FALSE)</f>
        <v>4.5254607772026896</v>
      </c>
      <c r="AB535" s="40">
        <f>VLOOKUP(D535,[1]apoio_Preços_MGS!$A$6:$AN$238,33,FALSE)</f>
        <v>114.60128756822279</v>
      </c>
      <c r="AC535" s="41">
        <f>VLOOKUP(D535,[1]apoio_Preços_MGS!$A$6:$AN$238,34,FALSE)</f>
        <v>4.314396214862351E-2</v>
      </c>
      <c r="AD535" s="40">
        <f>(U535+W535+Z535+AB535+AA535+VLOOKUP(C535,[1]apoio_Prec_Folha!$A:$S,7,FALSE))*AC535</f>
        <v>297.50300934301885</v>
      </c>
      <c r="AE535" s="42">
        <f>VLOOKUP(D535,[1]apoio_Preços_MGS!$A$6:$AN$238,36,FALSE)</f>
        <v>7.0000000000000007E-2</v>
      </c>
      <c r="AF535" s="40">
        <f>(U535+W535+Z535+AB535+AD535+AA535+VLOOKUP(C535,[1]apoio_Prec_Folha!$A:$S,7,FALSE))*AE535</f>
        <v>503.51640582686213</v>
      </c>
      <c r="AG535" s="40">
        <f t="shared" si="267"/>
        <v>7149.68</v>
      </c>
      <c r="AH535" s="43">
        <f t="shared" si="268"/>
        <v>8222.77</v>
      </c>
      <c r="AI535" s="43">
        <f t="shared" si="269"/>
        <v>115118.78</v>
      </c>
      <c r="AJ535" s="43">
        <f t="shared" si="270"/>
        <v>6907126.8000000007</v>
      </c>
      <c r="AK535" s="44">
        <f>VLOOKUP(D535,[1]apoio_Preços_MGS!$A$6:$AN$238,39,FALSE)</f>
        <v>200.00000000000003</v>
      </c>
      <c r="AL535" s="44">
        <f>IF(J535="demais municípios",VLOOKUP(D535,[1]apoio_Preços_MGS!$A$6:$AN$238,39,FALSE),0)</f>
        <v>200.00000000000003</v>
      </c>
      <c r="AM535" s="44">
        <v>0</v>
      </c>
      <c r="AN535" s="45">
        <f t="shared" si="285"/>
        <v>2800.0000000000005</v>
      </c>
      <c r="AO535" s="44">
        <f>VLOOKUP(D535,[1]apoio_Preços_MGS!$A$6:$AN$238,40,FALSE)</f>
        <v>546.91999999999996</v>
      </c>
      <c r="AP535" s="44">
        <f>IF(J535="demais municípios",VLOOKUP(D535,[1]apoio_Preços_MGS!$A$6:$AN$238,40,FALSE),0)</f>
        <v>546.91999999999996</v>
      </c>
      <c r="AQ535" s="44">
        <v>0</v>
      </c>
      <c r="AR535" s="45">
        <f t="shared" si="286"/>
        <v>7656.8799999999992</v>
      </c>
      <c r="AS535" s="45">
        <f t="shared" si="277"/>
        <v>10456.879999999999</v>
      </c>
      <c r="AT535" s="45">
        <f t="shared" si="280"/>
        <v>627412.79999999993</v>
      </c>
      <c r="AU535" s="62"/>
      <c r="AV535" s="46"/>
      <c r="AW535" s="47"/>
      <c r="AX535" s="48"/>
      <c r="AY535" s="49"/>
      <c r="BA535" s="48"/>
    </row>
    <row r="536" spans="1:53" ht="19.5" customHeight="1" x14ac:dyDescent="0.25">
      <c r="A536" s="33" t="str">
        <f t="shared" si="278"/>
        <v>106313440,05</v>
      </c>
      <c r="B536" s="33" t="str">
        <f t="shared" si="279"/>
        <v>11840,05</v>
      </c>
      <c r="C536" s="34" t="str">
        <f>VLOOKUP(D536,[1]apoio_Preços_MGS!$A$6:$B$238,2,FALSE)</f>
        <v>PORTEIRO</v>
      </c>
      <c r="D536" s="35">
        <v>1184</v>
      </c>
      <c r="E536" s="33" t="str">
        <f>VLOOKUP(D536,[1]apoio_Preços_MGS!$A$6:$F$238,6,FALSE)</f>
        <v>PORTEIRO (SUBS. ABSENT.) - (PERIC.) - 12x36 DIURNO - 44H</v>
      </c>
      <c r="F536" s="36">
        <f>IFERROR(VLOOKUP(D536,'[1]apoio_cód catmas'!$B$2:$C$863,2,FALSE),0)</f>
        <v>106313</v>
      </c>
      <c r="G536" s="33" t="str">
        <f>IF(H536="N/A",VLOOKUP(F536&amp;40,'[1]apoio_cód catmas'!$A$1:$G$233,4,FALSE),VLOOKUP(F536&amp;H536,'[1]apoio_cód catmas'!$A$1:$G$233,4,FALSE))</f>
        <v>PORTEIRO (COM SUBSTITUICAO) - (PERICULOSIDADE) - 12X36 DIURNO - 44 HORAS</v>
      </c>
      <c r="H536" s="36">
        <v>44</v>
      </c>
      <c r="I536" s="37">
        <v>0.05</v>
      </c>
      <c r="J536" s="38" t="s">
        <v>47</v>
      </c>
      <c r="K536" s="39">
        <v>12</v>
      </c>
      <c r="L536" s="39">
        <f t="shared" si="265"/>
        <v>720</v>
      </c>
      <c r="M536" s="40">
        <f>VLOOKUP(D536,[1]apoio_Preços_MGS!$A$6:$AN$238,18,FALSE)</f>
        <v>2357.0108214597344</v>
      </c>
      <c r="N536" s="40">
        <f>VLOOKUP(D536,[1]apoio_Preços_MGS!$A$6:$AN$238,19,FALSE)</f>
        <v>707.10324643792035</v>
      </c>
      <c r="O536" s="40">
        <f>VLOOKUP(D536,[1]apoio_Preços_MGS!$A$6:$AN$238,20,FALSE)</f>
        <v>0</v>
      </c>
      <c r="P536" s="40">
        <f>VLOOKUP(D536,[1]apoio_Preços_MGS!$A$6:$AN$238,21,FALSE)</f>
        <v>0</v>
      </c>
      <c r="Q536" s="40">
        <f>VLOOKUP(D536,[1]apoio_Preços_MGS!$A$6:$AN$238,22,FALSE)</f>
        <v>0</v>
      </c>
      <c r="R536" s="40">
        <f>VLOOKUP(D536,[1]apoio_Preços_MGS!$A$6:$AN$238,23,FALSE)</f>
        <v>328.29793584617732</v>
      </c>
      <c r="S536" s="40">
        <f>VLOOKUP(D536,[1]apoio_Preços_MGS!$A$6:$AN$238,24,FALSE)</f>
        <v>0</v>
      </c>
      <c r="T536" s="40">
        <f>VLOOKUP(D536,[1]apoio_Preços_MGS!$A$6:$AN$238,25,FALSE)</f>
        <v>4.2557139831911872</v>
      </c>
      <c r="U536" s="40">
        <f t="shared" si="273"/>
        <v>3396.6677177270235</v>
      </c>
      <c r="V536" s="41">
        <v>0.81799999999999995</v>
      </c>
      <c r="W536" s="40">
        <f t="shared" si="274"/>
        <v>2778.4741931007052</v>
      </c>
      <c r="X536" s="40">
        <f>VLOOKUP(D536,[1]apoio_Preços_MGS!$A$6:$AN$238,29,FALSE)</f>
        <v>52.672499999999992</v>
      </c>
      <c r="Y536" s="40">
        <f>VLOOKUP(D536,[1]apoio_Preços_MGS!$A$6:$AN$238,30,FALSE)</f>
        <v>1.721363914713578</v>
      </c>
      <c r="Z536" s="40">
        <f t="shared" si="266"/>
        <v>54.39386391471357</v>
      </c>
      <c r="AA536" s="40">
        <f>VLOOKUP(D536,[1]apoio_Preços_MGS!$A$6:$AN$238,32,FALSE)</f>
        <v>4.5254607772026896</v>
      </c>
      <c r="AB536" s="40">
        <f>VLOOKUP(D536,[1]apoio_Preços_MGS!$A$6:$AN$238,33,FALSE)</f>
        <v>114.60128756822279</v>
      </c>
      <c r="AC536" s="41">
        <f>VLOOKUP(D536,[1]apoio_Preços_MGS!$A$6:$AN$238,34,FALSE)</f>
        <v>4.314396214862351E-2</v>
      </c>
      <c r="AD536" s="40">
        <f>(U536+W536+Z536+AB536+AA536+VLOOKUP(C536,[1]apoio_Prec_Folha!$A:$S,7,FALSE))*AC536</f>
        <v>297.50300934301885</v>
      </c>
      <c r="AE536" s="42">
        <f>VLOOKUP(D536,[1]apoio_Preços_MGS!$A$6:$AN$238,36,FALSE)</f>
        <v>7.0000000000000007E-2</v>
      </c>
      <c r="AF536" s="40">
        <f>(U536+W536+Z536+AB536+AD536+AA536+VLOOKUP(C536,[1]apoio_Prec_Folha!$A:$S,7,FALSE))*AE536</f>
        <v>503.51640582686213</v>
      </c>
      <c r="AG536" s="40">
        <f t="shared" si="267"/>
        <v>7149.68</v>
      </c>
      <c r="AH536" s="43">
        <f t="shared" si="268"/>
        <v>8337.81</v>
      </c>
      <c r="AI536" s="43">
        <f t="shared" si="269"/>
        <v>100053.72</v>
      </c>
      <c r="AJ536" s="43">
        <f t="shared" si="270"/>
        <v>6003223.1999999993</v>
      </c>
      <c r="AK536" s="44">
        <f>VLOOKUP(D536,[1]apoio_Preços_MGS!$A$6:$AN$238,39,FALSE)</f>
        <v>200.00000000000003</v>
      </c>
      <c r="AL536" s="44">
        <f>IF(J536="demais municípios",VLOOKUP(D536,[1]apoio_Preços_MGS!$A$6:$AN$238,39,FALSE),0)</f>
        <v>0</v>
      </c>
      <c r="AM536" s="44">
        <f>TRUNC(ROUND(($I536)/(1-($I536)),5)*VLOOKUP(D536,[1]apoio_Preços_MGS!$A$6:$AN$238,39,FALSE)+VLOOKUP(D536,[1]apoio_Preços_MGS!$A$6:$AN$238,39,FALSE),2)</f>
        <v>210.52</v>
      </c>
      <c r="AN536" s="45">
        <f t="shared" si="281"/>
        <v>2526.2400000000002</v>
      </c>
      <c r="AO536" s="44">
        <f>VLOOKUP(D536,[1]apoio_Preços_MGS!$A$6:$AN$238,40,FALSE)</f>
        <v>546.91999999999996</v>
      </c>
      <c r="AP536" s="44">
        <f>IF(J536="demais municípios",VLOOKUP(D536,[1]apoio_Preços_MGS!$A$6:$AN$238,40,FALSE),0)</f>
        <v>0</v>
      </c>
      <c r="AQ536" s="44">
        <f>TRUNC(ROUND(($I536)/(1-($I536)),5)*VLOOKUP(D536,[1]apoio_Preços_MGS!$A$6:$AN$238,40,FALSE)+VLOOKUP(D536,[1]apoio_Preços_MGS!$A$6:$AN$238,40,FALSE),2)</f>
        <v>575.70000000000005</v>
      </c>
      <c r="AR536" s="45">
        <f t="shared" si="282"/>
        <v>6908.4000000000005</v>
      </c>
      <c r="AS536" s="45">
        <f t="shared" si="277"/>
        <v>9434.6400000000012</v>
      </c>
      <c r="AT536" s="45">
        <f t="shared" si="280"/>
        <v>566078.4</v>
      </c>
      <c r="AU536" s="62"/>
      <c r="AV536" s="46"/>
      <c r="AW536" s="47"/>
      <c r="AX536" s="48"/>
      <c r="AY536" s="49"/>
      <c r="BA536" s="48"/>
    </row>
    <row r="537" spans="1:53" ht="19.5" customHeight="1" x14ac:dyDescent="0.25">
      <c r="A537" s="33" t="str">
        <f t="shared" si="278"/>
        <v>106321440,02</v>
      </c>
      <c r="B537" s="33" t="str">
        <f t="shared" si="279"/>
        <v>11850,02</v>
      </c>
      <c r="C537" s="34" t="str">
        <f>VLOOKUP(D537,[1]apoio_Preços_MGS!$A$6:$B$238,2,FALSE)</f>
        <v>PORTEIRO</v>
      </c>
      <c r="D537" s="35">
        <v>1185</v>
      </c>
      <c r="E537" s="33" t="str">
        <f>VLOOKUP(D537,[1]apoio_Preços_MGS!$A$6:$F$238,6,FALSE)</f>
        <v>PORTEIRO (SUBS. ABSENT.) - (PERIC.) - 12x36 NOTURNO - 44H</v>
      </c>
      <c r="F537" s="36">
        <f>IFERROR(VLOOKUP(D537,'[1]apoio_cód catmas'!$B$2:$C$863,2,FALSE),0)</f>
        <v>106321</v>
      </c>
      <c r="G537" s="33" t="str">
        <f>IF(H537="N/A",VLOOKUP(F537&amp;40,'[1]apoio_cód catmas'!$A$1:$G$233,4,FALSE),VLOOKUP(F537&amp;H537,'[1]apoio_cód catmas'!$A$1:$G$233,4,FALSE))</f>
        <v>PORTEIRO (COM SUBSTITUICAO) - (PERICULOSIDADE) - 12X36 NOTURNO - 44 HORAS</v>
      </c>
      <c r="H537" s="36">
        <v>44</v>
      </c>
      <c r="I537" s="37">
        <v>0.02</v>
      </c>
      <c r="J537" s="38" t="s">
        <v>46</v>
      </c>
      <c r="K537" s="39">
        <v>11</v>
      </c>
      <c r="L537" s="39">
        <f t="shared" si="265"/>
        <v>660</v>
      </c>
      <c r="M537" s="40">
        <f>VLOOKUP(D537,[1]apoio_Preços_MGS!$A$6:$AN$238,18,FALSE)</f>
        <v>2357.0108214597344</v>
      </c>
      <c r="N537" s="40">
        <f>VLOOKUP(D537,[1]apoio_Preços_MGS!$A$6:$AN$238,19,FALSE)</f>
        <v>707.10324643792035</v>
      </c>
      <c r="O537" s="40">
        <f>VLOOKUP(D537,[1]apoio_Preços_MGS!$A$6:$AN$238,20,FALSE)</f>
        <v>713.81435275582578</v>
      </c>
      <c r="P537" s="40">
        <f>VLOOKUP(D537,[1]apoio_Preços_MGS!$A$6:$AN$238,21,FALSE)</f>
        <v>15.581471415837555</v>
      </c>
      <c r="Q537" s="40">
        <f>VLOOKUP(D537,[1]apoio_Preços_MGS!$A$6:$AN$238,22,FALSE)</f>
        <v>58.430500280235492</v>
      </c>
      <c r="R537" s="40">
        <f>VLOOKUP(D537,[1]apoio_Preços_MGS!$A$6:$AN$238,23,FALSE)</f>
        <v>328.29793584617732</v>
      </c>
      <c r="S537" s="40">
        <f>VLOOKUP(D537,[1]apoio_Preços_MGS!$A$6:$AN$238,24,FALSE)</f>
        <v>0</v>
      </c>
      <c r="T537" s="40">
        <f>VLOOKUP(D537,[1]apoio_Preços_MGS!$A$6:$AN$238,25,FALSE)</f>
        <v>4.2557139831911872</v>
      </c>
      <c r="U537" s="40">
        <f t="shared" si="273"/>
        <v>4184.4940421789224</v>
      </c>
      <c r="V537" s="41">
        <v>0.81799999999999995</v>
      </c>
      <c r="W537" s="40">
        <f t="shared" si="274"/>
        <v>3422.9161265023581</v>
      </c>
      <c r="X537" s="40">
        <f>VLOOKUP(D537,[1]apoio_Preços_MGS!$A$6:$AN$238,29,FALSE)</f>
        <v>52.672499999999992</v>
      </c>
      <c r="Y537" s="40">
        <f>VLOOKUP(D537,[1]apoio_Preços_MGS!$A$6:$AN$238,30,FALSE)</f>
        <v>1.721363914713578</v>
      </c>
      <c r="Z537" s="40">
        <f t="shared" si="266"/>
        <v>54.39386391471357</v>
      </c>
      <c r="AA537" s="40">
        <f>VLOOKUP(D537,[1]apoio_Preços_MGS!$A$6:$AN$238,32,FALSE)</f>
        <v>4.5254607772026896</v>
      </c>
      <c r="AB537" s="40">
        <f>VLOOKUP(D537,[1]apoio_Preços_MGS!$A$6:$AN$238,33,FALSE)</f>
        <v>114.60128756822279</v>
      </c>
      <c r="AC537" s="41">
        <f>VLOOKUP(D537,[1]apoio_Preços_MGS!$A$6:$AN$238,34,FALSE)</f>
        <v>4.314396214862351E-2</v>
      </c>
      <c r="AD537" s="40">
        <f>(U537+W537+Z537+AB537+AA537+VLOOKUP(C537,[1]apoio_Prec_Folha!$A:$S,7,FALSE))*AC537</f>
        <v>359.29673684652744</v>
      </c>
      <c r="AE537" s="42">
        <f>VLOOKUP(D537,[1]apoio_Preços_MGS!$A$6:$AN$238,36,FALSE)</f>
        <v>7.0000000000000007E-2</v>
      </c>
      <c r="AF537" s="40">
        <f>(U537+W537+Z537+AB537+AD537+AA537+VLOOKUP(C537,[1]apoio_Prec_Folha!$A:$S,7,FALSE))*AE537</f>
        <v>608.10074480185642</v>
      </c>
      <c r="AG537" s="40">
        <f t="shared" si="267"/>
        <v>8748.32</v>
      </c>
      <c r="AH537" s="43">
        <f t="shared" si="268"/>
        <v>9857.25</v>
      </c>
      <c r="AI537" s="43">
        <f t="shared" si="269"/>
        <v>108429.75</v>
      </c>
      <c r="AJ537" s="43">
        <f t="shared" si="270"/>
        <v>6505785</v>
      </c>
      <c r="AK537" s="44">
        <f>VLOOKUP(D537,[1]apoio_Preços_MGS!$A$6:$AN$238,39,FALSE)</f>
        <v>200.00000000000003</v>
      </c>
      <c r="AL537" s="44">
        <f>IF(J537="demais municípios",VLOOKUP(D537,[1]apoio_Preços_MGS!$A$6:$AN$238,39,FALSE),0)</f>
        <v>200.00000000000003</v>
      </c>
      <c r="AM537" s="44">
        <v>0</v>
      </c>
      <c r="AN537" s="45">
        <f t="shared" ref="AN537:AN540" si="287">AK537*K537</f>
        <v>2200.0000000000005</v>
      </c>
      <c r="AO537" s="44">
        <f>VLOOKUP(D537,[1]apoio_Preços_MGS!$A$6:$AN$238,40,FALSE)</f>
        <v>546.91999999999996</v>
      </c>
      <c r="AP537" s="44">
        <f>IF(J537="demais municípios",VLOOKUP(D537,[1]apoio_Preços_MGS!$A$6:$AN$238,40,FALSE),0)</f>
        <v>546.91999999999996</v>
      </c>
      <c r="AQ537" s="44">
        <v>0</v>
      </c>
      <c r="AR537" s="45">
        <f t="shared" ref="AR537:AR540" si="288">AO537*K537</f>
        <v>6016.12</v>
      </c>
      <c r="AS537" s="45">
        <f t="shared" si="277"/>
        <v>8216.1200000000008</v>
      </c>
      <c r="AT537" s="45">
        <f t="shared" si="280"/>
        <v>492967.20000000007</v>
      </c>
      <c r="AU537" s="62"/>
      <c r="AV537" s="46"/>
      <c r="AW537" s="47"/>
      <c r="AX537" s="48"/>
      <c r="AY537" s="49"/>
      <c r="BA537" s="48"/>
    </row>
    <row r="538" spans="1:53" ht="19.5" customHeight="1" x14ac:dyDescent="0.25">
      <c r="A538" s="33" t="str">
        <f t="shared" si="278"/>
        <v>106321440,03</v>
      </c>
      <c r="B538" s="33" t="str">
        <f t="shared" si="279"/>
        <v>11850,03</v>
      </c>
      <c r="C538" s="34" t="str">
        <f>VLOOKUP(D538,[1]apoio_Preços_MGS!$A$6:$B$238,2,FALSE)</f>
        <v>PORTEIRO</v>
      </c>
      <c r="D538" s="35">
        <v>1185</v>
      </c>
      <c r="E538" s="33" t="str">
        <f>VLOOKUP(D538,[1]apoio_Preços_MGS!$A$6:$F$238,6,FALSE)</f>
        <v>PORTEIRO (SUBS. ABSENT.) - (PERIC.) - 12x36 NOTURNO - 44H</v>
      </c>
      <c r="F538" s="36">
        <f>IFERROR(VLOOKUP(D538,'[1]apoio_cód catmas'!$B$2:$C$863,2,FALSE),0)</f>
        <v>106321</v>
      </c>
      <c r="G538" s="33" t="str">
        <f>IF(H538="N/A",VLOOKUP(F538&amp;40,'[1]apoio_cód catmas'!$A$1:$G$233,4,FALSE),VLOOKUP(F538&amp;H538,'[1]apoio_cód catmas'!$A$1:$G$233,4,FALSE))</f>
        <v>PORTEIRO (COM SUBSTITUICAO) - (PERICULOSIDADE) - 12X36 NOTURNO - 44 HORAS</v>
      </c>
      <c r="H538" s="36">
        <v>44</v>
      </c>
      <c r="I538" s="37">
        <v>0.03</v>
      </c>
      <c r="J538" s="38" t="s">
        <v>46</v>
      </c>
      <c r="K538" s="39">
        <v>7</v>
      </c>
      <c r="L538" s="39">
        <f t="shared" si="265"/>
        <v>420</v>
      </c>
      <c r="M538" s="40">
        <f>VLOOKUP(D538,[1]apoio_Preços_MGS!$A$6:$AN$238,18,FALSE)</f>
        <v>2357.0108214597344</v>
      </c>
      <c r="N538" s="40">
        <f>VLOOKUP(D538,[1]apoio_Preços_MGS!$A$6:$AN$238,19,FALSE)</f>
        <v>707.10324643792035</v>
      </c>
      <c r="O538" s="40">
        <f>VLOOKUP(D538,[1]apoio_Preços_MGS!$A$6:$AN$238,20,FALSE)</f>
        <v>713.81435275582578</v>
      </c>
      <c r="P538" s="40">
        <f>VLOOKUP(D538,[1]apoio_Preços_MGS!$A$6:$AN$238,21,FALSE)</f>
        <v>15.581471415837555</v>
      </c>
      <c r="Q538" s="40">
        <f>VLOOKUP(D538,[1]apoio_Preços_MGS!$A$6:$AN$238,22,FALSE)</f>
        <v>58.430500280235492</v>
      </c>
      <c r="R538" s="40">
        <f>VLOOKUP(D538,[1]apoio_Preços_MGS!$A$6:$AN$238,23,FALSE)</f>
        <v>328.29793584617732</v>
      </c>
      <c r="S538" s="40">
        <f>VLOOKUP(D538,[1]apoio_Preços_MGS!$A$6:$AN$238,24,FALSE)</f>
        <v>0</v>
      </c>
      <c r="T538" s="40">
        <f>VLOOKUP(D538,[1]apoio_Preços_MGS!$A$6:$AN$238,25,FALSE)</f>
        <v>4.2557139831911872</v>
      </c>
      <c r="U538" s="40">
        <f t="shared" si="273"/>
        <v>4184.4940421789224</v>
      </c>
      <c r="V538" s="41">
        <v>0.81799999999999995</v>
      </c>
      <c r="W538" s="40">
        <f t="shared" si="274"/>
        <v>3422.9161265023581</v>
      </c>
      <c r="X538" s="40">
        <f>VLOOKUP(D538,[1]apoio_Preços_MGS!$A$6:$AN$238,29,FALSE)</f>
        <v>52.672499999999992</v>
      </c>
      <c r="Y538" s="40">
        <f>VLOOKUP(D538,[1]apoio_Preços_MGS!$A$6:$AN$238,30,FALSE)</f>
        <v>1.721363914713578</v>
      </c>
      <c r="Z538" s="40">
        <f t="shared" si="266"/>
        <v>54.39386391471357</v>
      </c>
      <c r="AA538" s="40">
        <f>VLOOKUP(D538,[1]apoio_Preços_MGS!$A$6:$AN$238,32,FALSE)</f>
        <v>4.5254607772026896</v>
      </c>
      <c r="AB538" s="40">
        <f>VLOOKUP(D538,[1]apoio_Preços_MGS!$A$6:$AN$238,33,FALSE)</f>
        <v>114.60128756822279</v>
      </c>
      <c r="AC538" s="41">
        <f>VLOOKUP(D538,[1]apoio_Preços_MGS!$A$6:$AN$238,34,FALSE)</f>
        <v>4.314396214862351E-2</v>
      </c>
      <c r="AD538" s="40">
        <f>(U538+W538+Z538+AB538+AA538+VLOOKUP(C538,[1]apoio_Prec_Folha!$A:$S,7,FALSE))*AC538</f>
        <v>359.29673684652744</v>
      </c>
      <c r="AE538" s="42">
        <f>VLOOKUP(D538,[1]apoio_Preços_MGS!$A$6:$AN$238,36,FALSE)</f>
        <v>7.0000000000000007E-2</v>
      </c>
      <c r="AF538" s="40">
        <f>(U538+W538+Z538+AB538+AD538+AA538+VLOOKUP(C538,[1]apoio_Prec_Folha!$A:$S,7,FALSE))*AE538</f>
        <v>608.10074480185642</v>
      </c>
      <c r="AG538" s="40">
        <f t="shared" si="267"/>
        <v>8748.32</v>
      </c>
      <c r="AH538" s="43">
        <f t="shared" si="268"/>
        <v>9969.58</v>
      </c>
      <c r="AI538" s="43">
        <f t="shared" si="269"/>
        <v>69787.06</v>
      </c>
      <c r="AJ538" s="43">
        <f t="shared" si="270"/>
        <v>4187223.6</v>
      </c>
      <c r="AK538" s="44">
        <f>VLOOKUP(D538,[1]apoio_Preços_MGS!$A$6:$AN$238,39,FALSE)</f>
        <v>200.00000000000003</v>
      </c>
      <c r="AL538" s="44">
        <f>IF(J538="demais municípios",VLOOKUP(D538,[1]apoio_Preços_MGS!$A$6:$AN$238,39,FALSE),0)</f>
        <v>200.00000000000003</v>
      </c>
      <c r="AM538" s="44">
        <v>0</v>
      </c>
      <c r="AN538" s="45">
        <f t="shared" si="287"/>
        <v>1400.0000000000002</v>
      </c>
      <c r="AO538" s="44">
        <f>VLOOKUP(D538,[1]apoio_Preços_MGS!$A$6:$AN$238,40,FALSE)</f>
        <v>546.91999999999996</v>
      </c>
      <c r="AP538" s="44">
        <f>IF(J538="demais municípios",VLOOKUP(D538,[1]apoio_Preços_MGS!$A$6:$AN$238,40,FALSE),0)</f>
        <v>546.91999999999996</v>
      </c>
      <c r="AQ538" s="44">
        <v>0</v>
      </c>
      <c r="AR538" s="45">
        <f t="shared" si="288"/>
        <v>3828.4399999999996</v>
      </c>
      <c r="AS538" s="45">
        <f t="shared" si="277"/>
        <v>5228.4399999999996</v>
      </c>
      <c r="AT538" s="45">
        <f t="shared" si="280"/>
        <v>313706.39999999997</v>
      </c>
      <c r="AU538" s="62"/>
      <c r="AV538" s="46"/>
      <c r="AW538" s="47"/>
      <c r="AX538" s="48"/>
      <c r="AY538" s="49"/>
      <c r="BA538" s="48"/>
    </row>
    <row r="539" spans="1:53" ht="19.5" customHeight="1" x14ac:dyDescent="0.25">
      <c r="A539" s="33" t="str">
        <f t="shared" si="278"/>
        <v>106321440,038</v>
      </c>
      <c r="B539" s="33" t="str">
        <f t="shared" si="279"/>
        <v>11850,038</v>
      </c>
      <c r="C539" s="34" t="str">
        <f>VLOOKUP(D539,[1]apoio_Preços_MGS!$A$6:$B$238,2,FALSE)</f>
        <v>PORTEIRO</v>
      </c>
      <c r="D539" s="35">
        <v>1185</v>
      </c>
      <c r="E539" s="33" t="str">
        <f>VLOOKUP(D539,[1]apoio_Preços_MGS!$A$6:$F$238,6,FALSE)</f>
        <v>PORTEIRO (SUBS. ABSENT.) - (PERIC.) - 12x36 NOTURNO - 44H</v>
      </c>
      <c r="F539" s="36">
        <f>IFERROR(VLOOKUP(D539,'[1]apoio_cód catmas'!$B$2:$C$863,2,FALSE),0)</f>
        <v>106321</v>
      </c>
      <c r="G539" s="33" t="str">
        <f>IF(H539="N/A",VLOOKUP(F539&amp;40,'[1]apoio_cód catmas'!$A$1:$G$233,4,FALSE),VLOOKUP(F539&amp;H539,'[1]apoio_cód catmas'!$A$1:$G$233,4,FALSE))</f>
        <v>PORTEIRO (COM SUBSTITUICAO) - (PERICULOSIDADE) - 12X36 NOTURNO - 44 HORAS</v>
      </c>
      <c r="H539" s="36">
        <v>44</v>
      </c>
      <c r="I539" s="37">
        <v>3.7999999999999999E-2</v>
      </c>
      <c r="J539" s="38" t="s">
        <v>46</v>
      </c>
      <c r="K539" s="39">
        <v>20</v>
      </c>
      <c r="L539" s="39">
        <f t="shared" si="265"/>
        <v>1200</v>
      </c>
      <c r="M539" s="40">
        <f>VLOOKUP(D539,[1]apoio_Preços_MGS!$A$6:$AN$238,18,FALSE)</f>
        <v>2357.0108214597344</v>
      </c>
      <c r="N539" s="40">
        <f>VLOOKUP(D539,[1]apoio_Preços_MGS!$A$6:$AN$238,19,FALSE)</f>
        <v>707.10324643792035</v>
      </c>
      <c r="O539" s="40">
        <f>VLOOKUP(D539,[1]apoio_Preços_MGS!$A$6:$AN$238,20,FALSE)</f>
        <v>713.81435275582578</v>
      </c>
      <c r="P539" s="40">
        <f>VLOOKUP(D539,[1]apoio_Preços_MGS!$A$6:$AN$238,21,FALSE)</f>
        <v>15.581471415837555</v>
      </c>
      <c r="Q539" s="40">
        <f>VLOOKUP(D539,[1]apoio_Preços_MGS!$A$6:$AN$238,22,FALSE)</f>
        <v>58.430500280235492</v>
      </c>
      <c r="R539" s="40">
        <f>VLOOKUP(D539,[1]apoio_Preços_MGS!$A$6:$AN$238,23,FALSE)</f>
        <v>328.29793584617732</v>
      </c>
      <c r="S539" s="40">
        <f>VLOOKUP(D539,[1]apoio_Preços_MGS!$A$6:$AN$238,24,FALSE)</f>
        <v>0</v>
      </c>
      <c r="T539" s="40">
        <f>VLOOKUP(D539,[1]apoio_Preços_MGS!$A$6:$AN$238,25,FALSE)</f>
        <v>4.2557139831911872</v>
      </c>
      <c r="U539" s="40">
        <f t="shared" si="273"/>
        <v>4184.4940421789224</v>
      </c>
      <c r="V539" s="41">
        <v>0.81799999999999995</v>
      </c>
      <c r="W539" s="40">
        <f t="shared" si="274"/>
        <v>3422.9161265023581</v>
      </c>
      <c r="X539" s="40">
        <f>VLOOKUP(D539,[1]apoio_Preços_MGS!$A$6:$AN$238,29,FALSE)</f>
        <v>52.672499999999992</v>
      </c>
      <c r="Y539" s="40">
        <f>VLOOKUP(D539,[1]apoio_Preços_MGS!$A$6:$AN$238,30,FALSE)</f>
        <v>1.721363914713578</v>
      </c>
      <c r="Z539" s="40">
        <f t="shared" si="266"/>
        <v>54.39386391471357</v>
      </c>
      <c r="AA539" s="40">
        <f>VLOOKUP(D539,[1]apoio_Preços_MGS!$A$6:$AN$238,32,FALSE)</f>
        <v>4.5254607772026896</v>
      </c>
      <c r="AB539" s="40">
        <f>VLOOKUP(D539,[1]apoio_Preços_MGS!$A$6:$AN$238,33,FALSE)</f>
        <v>114.60128756822279</v>
      </c>
      <c r="AC539" s="41">
        <f>VLOOKUP(D539,[1]apoio_Preços_MGS!$A$6:$AN$238,34,FALSE)</f>
        <v>4.314396214862351E-2</v>
      </c>
      <c r="AD539" s="40">
        <f>(U539+W539+Z539+AB539+AA539+VLOOKUP(C539,[1]apoio_Prec_Folha!$A:$S,7,FALSE))*AC539</f>
        <v>359.29673684652744</v>
      </c>
      <c r="AE539" s="42">
        <f>VLOOKUP(D539,[1]apoio_Preços_MGS!$A$6:$AN$238,36,FALSE)</f>
        <v>7.0000000000000007E-2</v>
      </c>
      <c r="AF539" s="40">
        <f>(U539+W539+Z539+AB539+AD539+AA539+VLOOKUP(C539,[1]apoio_Prec_Folha!$A:$S,7,FALSE))*AE539</f>
        <v>608.10074480185642</v>
      </c>
      <c r="AG539" s="40">
        <f t="shared" si="267"/>
        <v>8748.32</v>
      </c>
      <c r="AH539" s="43">
        <f t="shared" si="268"/>
        <v>10061.35</v>
      </c>
      <c r="AI539" s="43">
        <f t="shared" si="269"/>
        <v>201227</v>
      </c>
      <c r="AJ539" s="43">
        <f t="shared" si="270"/>
        <v>12073620</v>
      </c>
      <c r="AK539" s="44">
        <f>VLOOKUP(D539,[1]apoio_Preços_MGS!$A$6:$AN$238,39,FALSE)</f>
        <v>200.00000000000003</v>
      </c>
      <c r="AL539" s="44">
        <f>IF(J539="demais municípios",VLOOKUP(D539,[1]apoio_Preços_MGS!$A$6:$AN$238,39,FALSE),0)</f>
        <v>200.00000000000003</v>
      </c>
      <c r="AM539" s="44">
        <v>0</v>
      </c>
      <c r="AN539" s="45">
        <f t="shared" si="287"/>
        <v>4000.0000000000005</v>
      </c>
      <c r="AO539" s="44">
        <f>VLOOKUP(D539,[1]apoio_Preços_MGS!$A$6:$AN$238,40,FALSE)</f>
        <v>546.91999999999996</v>
      </c>
      <c r="AP539" s="44">
        <f>IF(J539="demais municípios",VLOOKUP(D539,[1]apoio_Preços_MGS!$A$6:$AN$238,40,FALSE),0)</f>
        <v>546.91999999999996</v>
      </c>
      <c r="AQ539" s="44">
        <v>0</v>
      </c>
      <c r="AR539" s="45">
        <f t="shared" si="288"/>
        <v>10938.4</v>
      </c>
      <c r="AS539" s="45">
        <f t="shared" si="277"/>
        <v>14938.4</v>
      </c>
      <c r="AT539" s="45">
        <f t="shared" si="280"/>
        <v>896304</v>
      </c>
      <c r="AU539" s="62"/>
      <c r="AV539" s="46"/>
      <c r="AW539" s="47"/>
      <c r="AX539" s="48"/>
      <c r="AY539" s="49"/>
      <c r="BA539" s="48"/>
    </row>
    <row r="540" spans="1:53" ht="19.5" customHeight="1" x14ac:dyDescent="0.25">
      <c r="A540" s="33" t="str">
        <f t="shared" si="278"/>
        <v>106321440,05</v>
      </c>
      <c r="B540" s="33" t="str">
        <f t="shared" si="279"/>
        <v>11850,05</v>
      </c>
      <c r="C540" s="34" t="str">
        <f>VLOOKUP(D540,[1]apoio_Preços_MGS!$A$6:$B$238,2,FALSE)</f>
        <v>PORTEIRO</v>
      </c>
      <c r="D540" s="35">
        <v>1185</v>
      </c>
      <c r="E540" s="33" t="str">
        <f>VLOOKUP(D540,[1]apoio_Preços_MGS!$A$6:$F$238,6,FALSE)</f>
        <v>PORTEIRO (SUBS. ABSENT.) - (PERIC.) - 12x36 NOTURNO - 44H</v>
      </c>
      <c r="F540" s="36">
        <f>IFERROR(VLOOKUP(D540,'[1]apoio_cód catmas'!$B$2:$C$863,2,FALSE),0)</f>
        <v>106321</v>
      </c>
      <c r="G540" s="33" t="str">
        <f>IF(H540="N/A",VLOOKUP(F540&amp;40,'[1]apoio_cód catmas'!$A$1:$G$233,4,FALSE),VLOOKUP(F540&amp;H540,'[1]apoio_cód catmas'!$A$1:$G$233,4,FALSE))</f>
        <v>PORTEIRO (COM SUBSTITUICAO) - (PERICULOSIDADE) - 12X36 NOTURNO - 44 HORAS</v>
      </c>
      <c r="H540" s="36">
        <v>44</v>
      </c>
      <c r="I540" s="37">
        <v>0.05</v>
      </c>
      <c r="J540" s="38" t="s">
        <v>46</v>
      </c>
      <c r="K540" s="39">
        <f>10-K541</f>
        <v>2</v>
      </c>
      <c r="L540" s="39">
        <f t="shared" si="265"/>
        <v>120</v>
      </c>
      <c r="M540" s="40">
        <f>VLOOKUP(D540,[1]apoio_Preços_MGS!$A$6:$AN$238,18,FALSE)</f>
        <v>2357.0108214597344</v>
      </c>
      <c r="N540" s="40">
        <f>VLOOKUP(D540,[1]apoio_Preços_MGS!$A$6:$AN$238,19,FALSE)</f>
        <v>707.10324643792035</v>
      </c>
      <c r="O540" s="40">
        <f>VLOOKUP(D540,[1]apoio_Preços_MGS!$A$6:$AN$238,20,FALSE)</f>
        <v>713.81435275582578</v>
      </c>
      <c r="P540" s="40">
        <f>VLOOKUP(D540,[1]apoio_Preços_MGS!$A$6:$AN$238,21,FALSE)</f>
        <v>15.581471415837555</v>
      </c>
      <c r="Q540" s="40">
        <f>VLOOKUP(D540,[1]apoio_Preços_MGS!$A$6:$AN$238,22,FALSE)</f>
        <v>58.430500280235492</v>
      </c>
      <c r="R540" s="40">
        <f>VLOOKUP(D540,[1]apoio_Preços_MGS!$A$6:$AN$238,23,FALSE)</f>
        <v>328.29793584617732</v>
      </c>
      <c r="S540" s="40">
        <f>VLOOKUP(D540,[1]apoio_Preços_MGS!$A$6:$AN$238,24,FALSE)</f>
        <v>0</v>
      </c>
      <c r="T540" s="40">
        <f>VLOOKUP(D540,[1]apoio_Preços_MGS!$A$6:$AN$238,25,FALSE)</f>
        <v>4.2557139831911872</v>
      </c>
      <c r="U540" s="40">
        <f t="shared" si="273"/>
        <v>4184.4940421789224</v>
      </c>
      <c r="V540" s="41">
        <v>0.81799999999999995</v>
      </c>
      <c r="W540" s="40">
        <f t="shared" si="274"/>
        <v>3422.9161265023581</v>
      </c>
      <c r="X540" s="40">
        <f>VLOOKUP(D540,[1]apoio_Preços_MGS!$A$6:$AN$238,29,FALSE)</f>
        <v>52.672499999999992</v>
      </c>
      <c r="Y540" s="40">
        <f>VLOOKUP(D540,[1]apoio_Preços_MGS!$A$6:$AN$238,30,FALSE)</f>
        <v>1.721363914713578</v>
      </c>
      <c r="Z540" s="40">
        <f t="shared" si="266"/>
        <v>54.39386391471357</v>
      </c>
      <c r="AA540" s="40">
        <f>VLOOKUP(D540,[1]apoio_Preços_MGS!$A$6:$AN$238,32,FALSE)</f>
        <v>4.5254607772026896</v>
      </c>
      <c r="AB540" s="40">
        <f>VLOOKUP(D540,[1]apoio_Preços_MGS!$A$6:$AN$238,33,FALSE)</f>
        <v>114.60128756822279</v>
      </c>
      <c r="AC540" s="41">
        <f>VLOOKUP(D540,[1]apoio_Preços_MGS!$A$6:$AN$238,34,FALSE)</f>
        <v>4.314396214862351E-2</v>
      </c>
      <c r="AD540" s="40">
        <f>(U540+W540+Z540+AB540+AA540+VLOOKUP(C540,[1]apoio_Prec_Folha!$A:$S,7,FALSE))*AC540</f>
        <v>359.29673684652744</v>
      </c>
      <c r="AE540" s="42">
        <f>VLOOKUP(D540,[1]apoio_Preços_MGS!$A$6:$AN$238,36,FALSE)</f>
        <v>7.0000000000000007E-2</v>
      </c>
      <c r="AF540" s="40">
        <f>(U540+W540+Z540+AB540+AD540+AA540+VLOOKUP(C540,[1]apoio_Prec_Folha!$A:$S,7,FALSE))*AE540</f>
        <v>608.10074480185642</v>
      </c>
      <c r="AG540" s="40">
        <f t="shared" si="267"/>
        <v>8748.32</v>
      </c>
      <c r="AH540" s="43">
        <f t="shared" si="268"/>
        <v>10202.11</v>
      </c>
      <c r="AI540" s="43">
        <f t="shared" si="269"/>
        <v>20404.22</v>
      </c>
      <c r="AJ540" s="43">
        <f t="shared" si="270"/>
        <v>1224253.2000000002</v>
      </c>
      <c r="AK540" s="44">
        <f>VLOOKUP(D540,[1]apoio_Preços_MGS!$A$6:$AN$238,39,FALSE)</f>
        <v>200.00000000000003</v>
      </c>
      <c r="AL540" s="44">
        <f>IF(J540="demais municípios",VLOOKUP(D540,[1]apoio_Preços_MGS!$A$6:$AN$238,39,FALSE),0)</f>
        <v>200.00000000000003</v>
      </c>
      <c r="AM540" s="44">
        <v>0</v>
      </c>
      <c r="AN540" s="45">
        <f t="shared" si="287"/>
        <v>400.00000000000006</v>
      </c>
      <c r="AO540" s="44">
        <f>VLOOKUP(D540,[1]apoio_Preços_MGS!$A$6:$AN$238,40,FALSE)</f>
        <v>546.91999999999996</v>
      </c>
      <c r="AP540" s="44">
        <f>IF(J540="demais municípios",VLOOKUP(D540,[1]apoio_Preços_MGS!$A$6:$AN$238,40,FALSE),0)</f>
        <v>546.91999999999996</v>
      </c>
      <c r="AQ540" s="44">
        <v>0</v>
      </c>
      <c r="AR540" s="45">
        <f t="shared" si="288"/>
        <v>1093.8399999999999</v>
      </c>
      <c r="AS540" s="45">
        <f t="shared" si="277"/>
        <v>1493.84</v>
      </c>
      <c r="AT540" s="45">
        <f t="shared" si="280"/>
        <v>89630.399999999994</v>
      </c>
      <c r="AU540" s="62"/>
      <c r="AV540" s="46"/>
      <c r="AW540" s="47"/>
      <c r="AX540" s="48"/>
      <c r="AY540" s="49"/>
      <c r="BA540" s="48"/>
    </row>
    <row r="541" spans="1:53" ht="19.5" customHeight="1" x14ac:dyDescent="0.25">
      <c r="A541" s="33" t="str">
        <f t="shared" si="278"/>
        <v>106321440,05</v>
      </c>
      <c r="B541" s="33" t="str">
        <f t="shared" si="279"/>
        <v>11850,05</v>
      </c>
      <c r="C541" s="34" t="str">
        <f>VLOOKUP(D541,[1]apoio_Preços_MGS!$A$6:$B$238,2,FALSE)</f>
        <v>PORTEIRO</v>
      </c>
      <c r="D541" s="35">
        <v>1185</v>
      </c>
      <c r="E541" s="33" t="str">
        <f>VLOOKUP(D541,[1]apoio_Preços_MGS!$A$6:$F$238,6,FALSE)</f>
        <v>PORTEIRO (SUBS. ABSENT.) - (PERIC.) - 12x36 NOTURNO - 44H</v>
      </c>
      <c r="F541" s="36">
        <f>IFERROR(VLOOKUP(D541,'[1]apoio_cód catmas'!$B$2:$C$863,2,FALSE),0)</f>
        <v>106321</v>
      </c>
      <c r="G541" s="33" t="str">
        <f>IF(H541="N/A",VLOOKUP(F541&amp;40,'[1]apoio_cód catmas'!$A$1:$G$233,4,FALSE),VLOOKUP(F541&amp;H541,'[1]apoio_cód catmas'!$A$1:$G$233,4,FALSE))</f>
        <v>PORTEIRO (COM SUBSTITUICAO) - (PERICULOSIDADE) - 12X36 NOTURNO - 44 HORAS</v>
      </c>
      <c r="H541" s="36">
        <v>44</v>
      </c>
      <c r="I541" s="37">
        <v>0.05</v>
      </c>
      <c r="J541" s="38" t="s">
        <v>47</v>
      </c>
      <c r="K541" s="39">
        <v>8</v>
      </c>
      <c r="L541" s="39">
        <f t="shared" si="265"/>
        <v>480</v>
      </c>
      <c r="M541" s="40">
        <f>VLOOKUP(D541,[1]apoio_Preços_MGS!$A$6:$AN$238,18,FALSE)</f>
        <v>2357.0108214597344</v>
      </c>
      <c r="N541" s="40">
        <f>VLOOKUP(D541,[1]apoio_Preços_MGS!$A$6:$AN$238,19,FALSE)</f>
        <v>707.10324643792035</v>
      </c>
      <c r="O541" s="40">
        <f>VLOOKUP(D541,[1]apoio_Preços_MGS!$A$6:$AN$238,20,FALSE)</f>
        <v>713.81435275582578</v>
      </c>
      <c r="P541" s="40">
        <f>VLOOKUP(D541,[1]apoio_Preços_MGS!$A$6:$AN$238,21,FALSE)</f>
        <v>15.581471415837555</v>
      </c>
      <c r="Q541" s="40">
        <f>VLOOKUP(D541,[1]apoio_Preços_MGS!$A$6:$AN$238,22,FALSE)</f>
        <v>58.430500280235492</v>
      </c>
      <c r="R541" s="40">
        <f>VLOOKUP(D541,[1]apoio_Preços_MGS!$A$6:$AN$238,23,FALSE)</f>
        <v>328.29793584617732</v>
      </c>
      <c r="S541" s="40">
        <f>VLOOKUP(D541,[1]apoio_Preços_MGS!$A$6:$AN$238,24,FALSE)</f>
        <v>0</v>
      </c>
      <c r="T541" s="40">
        <f>VLOOKUP(D541,[1]apoio_Preços_MGS!$A$6:$AN$238,25,FALSE)</f>
        <v>4.2557139831911872</v>
      </c>
      <c r="U541" s="40">
        <f t="shared" si="273"/>
        <v>4184.4940421789224</v>
      </c>
      <c r="V541" s="41">
        <v>0.81799999999999995</v>
      </c>
      <c r="W541" s="40">
        <f t="shared" si="274"/>
        <v>3422.9161265023581</v>
      </c>
      <c r="X541" s="40">
        <f>VLOOKUP(D541,[1]apoio_Preços_MGS!$A$6:$AN$238,29,FALSE)</f>
        <v>52.672499999999992</v>
      </c>
      <c r="Y541" s="40">
        <f>VLOOKUP(D541,[1]apoio_Preços_MGS!$A$6:$AN$238,30,FALSE)</f>
        <v>1.721363914713578</v>
      </c>
      <c r="Z541" s="40">
        <f t="shared" si="266"/>
        <v>54.39386391471357</v>
      </c>
      <c r="AA541" s="40">
        <f>VLOOKUP(D541,[1]apoio_Preços_MGS!$A$6:$AN$238,32,FALSE)</f>
        <v>4.5254607772026896</v>
      </c>
      <c r="AB541" s="40">
        <f>VLOOKUP(D541,[1]apoio_Preços_MGS!$A$6:$AN$238,33,FALSE)</f>
        <v>114.60128756822279</v>
      </c>
      <c r="AC541" s="41">
        <f>VLOOKUP(D541,[1]apoio_Preços_MGS!$A$6:$AN$238,34,FALSE)</f>
        <v>4.314396214862351E-2</v>
      </c>
      <c r="AD541" s="40">
        <f>(U541+W541+Z541+AB541+AA541+VLOOKUP(C541,[1]apoio_Prec_Folha!$A:$S,7,FALSE))*AC541</f>
        <v>359.29673684652744</v>
      </c>
      <c r="AE541" s="42">
        <f>VLOOKUP(D541,[1]apoio_Preços_MGS!$A$6:$AN$238,36,FALSE)</f>
        <v>7.0000000000000007E-2</v>
      </c>
      <c r="AF541" s="40">
        <f>(U541+W541+Z541+AB541+AD541+AA541+VLOOKUP(C541,[1]apoio_Prec_Folha!$A:$S,7,FALSE))*AE541</f>
        <v>608.10074480185642</v>
      </c>
      <c r="AG541" s="40">
        <f t="shared" si="267"/>
        <v>8748.32</v>
      </c>
      <c r="AH541" s="43">
        <f t="shared" si="268"/>
        <v>10202.11</v>
      </c>
      <c r="AI541" s="43">
        <f t="shared" si="269"/>
        <v>81616.88</v>
      </c>
      <c r="AJ541" s="43">
        <f t="shared" si="270"/>
        <v>4897012.8000000007</v>
      </c>
      <c r="AK541" s="44">
        <f>VLOOKUP(D541,[1]apoio_Preços_MGS!$A$6:$AN$238,39,FALSE)</f>
        <v>200.00000000000003</v>
      </c>
      <c r="AL541" s="44">
        <f>IF(J541="demais municípios",VLOOKUP(D541,[1]apoio_Preços_MGS!$A$6:$AN$238,39,FALSE),0)</f>
        <v>0</v>
      </c>
      <c r="AM541" s="44">
        <f>TRUNC(ROUND(($I541)/(1-($I541)),5)*VLOOKUP(D541,[1]apoio_Preços_MGS!$A$6:$AN$238,39,FALSE)+VLOOKUP(D541,[1]apoio_Preços_MGS!$A$6:$AN$238,39,FALSE),2)</f>
        <v>210.52</v>
      </c>
      <c r="AN541" s="45">
        <f t="shared" si="281"/>
        <v>1684.16</v>
      </c>
      <c r="AO541" s="44">
        <f>VLOOKUP(D541,[1]apoio_Preços_MGS!$A$6:$AN$238,40,FALSE)</f>
        <v>546.91999999999996</v>
      </c>
      <c r="AP541" s="44">
        <f>IF(J541="demais municípios",VLOOKUP(D541,[1]apoio_Preços_MGS!$A$6:$AN$238,40,FALSE),0)</f>
        <v>0</v>
      </c>
      <c r="AQ541" s="44">
        <f>TRUNC(ROUND(($I541)/(1-($I541)),5)*VLOOKUP(D541,[1]apoio_Preços_MGS!$A$6:$AN$238,40,FALSE)+VLOOKUP(D541,[1]apoio_Preços_MGS!$A$6:$AN$238,40,FALSE),2)</f>
        <v>575.70000000000005</v>
      </c>
      <c r="AR541" s="45">
        <f t="shared" si="282"/>
        <v>4605.6000000000004</v>
      </c>
      <c r="AS541" s="45">
        <f t="shared" si="277"/>
        <v>6289.76</v>
      </c>
      <c r="AT541" s="45">
        <f t="shared" si="280"/>
        <v>377385.60000000003</v>
      </c>
      <c r="AU541" s="62"/>
      <c r="AV541" s="46"/>
      <c r="AW541" s="47"/>
      <c r="AX541" s="48"/>
      <c r="AY541" s="49"/>
      <c r="BA541" s="48"/>
    </row>
    <row r="542" spans="1:53" ht="19.5" customHeight="1" x14ac:dyDescent="0.25">
      <c r="A542" s="33" t="str">
        <f t="shared" si="278"/>
        <v>105660440,02</v>
      </c>
      <c r="B542" s="33" t="str">
        <f t="shared" si="279"/>
        <v>11870,02</v>
      </c>
      <c r="C542" s="34" t="str">
        <f>VLOOKUP(D542,[1]apoio_Preços_MGS!$A$6:$B$238,2,FALSE)</f>
        <v>PORTEIRO</v>
      </c>
      <c r="D542" s="35">
        <v>1187</v>
      </c>
      <c r="E542" s="33" t="str">
        <f>VLOOKUP(D542,[1]apoio_Preços_MGS!$A$6:$F$238,6,FALSE)</f>
        <v>PORTEIRO (SUBS. ABSENT.) - 12x36 DIURNO - 44H</v>
      </c>
      <c r="F542" s="36">
        <f>IFERROR(VLOOKUP(D542,'[1]apoio_cód catmas'!$B$2:$C$863,2,FALSE),0)</f>
        <v>105660</v>
      </c>
      <c r="G542" s="33" t="str">
        <f>IF(H542="N/A",VLOOKUP(F542&amp;40,'[1]apoio_cód catmas'!$A$1:$G$233,4,FALSE),VLOOKUP(F542&amp;H542,'[1]apoio_cód catmas'!$A$1:$G$233,4,FALSE))</f>
        <v>PORTEIRO (COM SUBSTITUICAO) - 12X36 DIURNO - 44H</v>
      </c>
      <c r="H542" s="36">
        <v>44</v>
      </c>
      <c r="I542" s="37">
        <v>0.02</v>
      </c>
      <c r="J542" s="38" t="s">
        <v>46</v>
      </c>
      <c r="K542" s="39">
        <v>50</v>
      </c>
      <c r="L542" s="39">
        <f t="shared" si="265"/>
        <v>3000</v>
      </c>
      <c r="M542" s="40">
        <f>VLOOKUP(D542,[1]apoio_Preços_MGS!$A$6:$AN$238,18,FALSE)</f>
        <v>2357.0108214597344</v>
      </c>
      <c r="N542" s="40">
        <f>VLOOKUP(D542,[1]apoio_Preços_MGS!$A$6:$AN$238,19,FALSE)</f>
        <v>0</v>
      </c>
      <c r="O542" s="40">
        <f>VLOOKUP(D542,[1]apoio_Preços_MGS!$A$6:$AN$238,20,FALSE)</f>
        <v>0</v>
      </c>
      <c r="P542" s="40">
        <f>VLOOKUP(D542,[1]apoio_Preços_MGS!$A$6:$AN$238,21,FALSE)</f>
        <v>0</v>
      </c>
      <c r="Q542" s="40">
        <f>VLOOKUP(D542,[1]apoio_Preços_MGS!$A$6:$AN$238,22,FALSE)</f>
        <v>0</v>
      </c>
      <c r="R542" s="40">
        <f>VLOOKUP(D542,[1]apoio_Preços_MGS!$A$6:$AN$238,23,FALSE)</f>
        <v>252.53687372782872</v>
      </c>
      <c r="S542" s="40">
        <f>VLOOKUP(D542,[1]apoio_Preços_MGS!$A$6:$AN$238,24,FALSE)</f>
        <v>0</v>
      </c>
      <c r="T542" s="40">
        <f>VLOOKUP(D542,[1]apoio_Preços_MGS!$A$6:$AN$238,25,FALSE)</f>
        <v>3.2736261409162979</v>
      </c>
      <c r="U542" s="40">
        <f t="shared" si="273"/>
        <v>2612.8213213284794</v>
      </c>
      <c r="V542" s="41">
        <v>0.81799999999999995</v>
      </c>
      <c r="W542" s="40">
        <f t="shared" si="274"/>
        <v>2137.2878408466959</v>
      </c>
      <c r="X542" s="40">
        <f>VLOOKUP(D542,[1]apoio_Preços_MGS!$A$6:$AN$238,29,FALSE)</f>
        <v>52.672499999999992</v>
      </c>
      <c r="Y542" s="40">
        <f>VLOOKUP(D542,[1]apoio_Preços_MGS!$A$6:$AN$238,30,FALSE)</f>
        <v>1.721363914713578</v>
      </c>
      <c r="Z542" s="40">
        <f t="shared" si="266"/>
        <v>54.39386391471357</v>
      </c>
      <c r="AA542" s="40">
        <f>VLOOKUP(D542,[1]apoio_Preços_MGS!$A$6:$AN$238,32,FALSE)</f>
        <v>4.5254607772026896</v>
      </c>
      <c r="AB542" s="40">
        <f>VLOOKUP(D542,[1]apoio_Preços_MGS!$A$6:$AN$238,33,FALSE)</f>
        <v>114.60128756822279</v>
      </c>
      <c r="AC542" s="41">
        <f>VLOOKUP(D542,[1]apoio_Preços_MGS!$A$6:$AN$238,34,FALSE)</f>
        <v>4.314396214862351E-2</v>
      </c>
      <c r="AD542" s="40">
        <f>(U542+W542+Z542+AB542+AA542+VLOOKUP(C542,[1]apoio_Prec_Folha!$A:$S,7,FALSE))*AC542</f>
        <v>236.02145037460411</v>
      </c>
      <c r="AE542" s="42">
        <f>VLOOKUP(D542,[1]apoio_Preços_MGS!$A$6:$AN$238,36,FALSE)</f>
        <v>7.0000000000000007E-2</v>
      </c>
      <c r="AF542" s="40">
        <f>(U542+W542+Z542+AB542+AD542+AA542+VLOOKUP(C542,[1]apoio_Prec_Folha!$A:$S,7,FALSE))*AE542</f>
        <v>399.46040429339433</v>
      </c>
      <c r="AG542" s="40">
        <f t="shared" si="267"/>
        <v>5559.11</v>
      </c>
      <c r="AH542" s="43">
        <f t="shared" si="268"/>
        <v>6263.78</v>
      </c>
      <c r="AI542" s="43">
        <f t="shared" si="269"/>
        <v>313189</v>
      </c>
      <c r="AJ542" s="43">
        <f t="shared" si="270"/>
        <v>18791340</v>
      </c>
      <c r="AK542" s="44">
        <f>VLOOKUP(D542,[1]apoio_Preços_MGS!$A$6:$AN$238,39,FALSE)</f>
        <v>200.00000000000003</v>
      </c>
      <c r="AL542" s="44">
        <f>IF(J542="demais municípios",VLOOKUP(D542,[1]apoio_Preços_MGS!$A$6:$AN$238,39,FALSE),0)</f>
        <v>200.00000000000003</v>
      </c>
      <c r="AM542" s="44">
        <v>0</v>
      </c>
      <c r="AN542" s="45">
        <f t="shared" ref="AN542:AN547" si="289">AK542*K542</f>
        <v>10000.000000000002</v>
      </c>
      <c r="AO542" s="44">
        <f>VLOOKUP(D542,[1]apoio_Preços_MGS!$A$6:$AN$238,40,FALSE)</f>
        <v>546.91999999999996</v>
      </c>
      <c r="AP542" s="44">
        <f>IF(J542="demais municípios",VLOOKUP(D542,[1]apoio_Preços_MGS!$A$6:$AN$238,40,FALSE),0)</f>
        <v>546.91999999999996</v>
      </c>
      <c r="AQ542" s="44">
        <v>0</v>
      </c>
      <c r="AR542" s="45">
        <f t="shared" ref="AR542:AR547" si="290">AO542*K542</f>
        <v>27345.999999999996</v>
      </c>
      <c r="AS542" s="45">
        <f t="shared" si="277"/>
        <v>37346</v>
      </c>
      <c r="AT542" s="45">
        <f t="shared" si="280"/>
        <v>2240760</v>
      </c>
      <c r="AU542" s="62"/>
      <c r="AV542" s="46"/>
      <c r="AW542" s="47"/>
      <c r="AX542" s="48"/>
      <c r="AY542" s="49"/>
      <c r="BA542" s="48"/>
    </row>
    <row r="543" spans="1:53" ht="19.5" customHeight="1" x14ac:dyDescent="0.25">
      <c r="A543" s="33" t="str">
        <f t="shared" si="278"/>
        <v>105660440,027</v>
      </c>
      <c r="B543" s="33" t="str">
        <f t="shared" si="279"/>
        <v>11870,027</v>
      </c>
      <c r="C543" s="34" t="str">
        <f>VLOOKUP(D543,[1]apoio_Preços_MGS!$A$6:$B$238,2,FALSE)</f>
        <v>PORTEIRO</v>
      </c>
      <c r="D543" s="35">
        <v>1187</v>
      </c>
      <c r="E543" s="33" t="str">
        <f>VLOOKUP(D543,[1]apoio_Preços_MGS!$A$6:$F$238,6,FALSE)</f>
        <v>PORTEIRO (SUBS. ABSENT.) - 12x36 DIURNO - 44H</v>
      </c>
      <c r="F543" s="36">
        <f>IFERROR(VLOOKUP(D543,'[1]apoio_cód catmas'!$B$2:$C$863,2,FALSE),0)</f>
        <v>105660</v>
      </c>
      <c r="G543" s="33" t="str">
        <f>IF(H543="N/A",VLOOKUP(F543&amp;40,'[1]apoio_cód catmas'!$A$1:$G$233,4,FALSE),VLOOKUP(F543&amp;H543,'[1]apoio_cód catmas'!$A$1:$G$233,4,FALSE))</f>
        <v>PORTEIRO (COM SUBSTITUICAO) - 12X36 DIURNO - 44H</v>
      </c>
      <c r="H543" s="36">
        <v>44</v>
      </c>
      <c r="I543" s="37">
        <v>2.7000000000000003E-2</v>
      </c>
      <c r="J543" s="38" t="s">
        <v>46</v>
      </c>
      <c r="K543" s="39">
        <v>4</v>
      </c>
      <c r="L543" s="39">
        <f t="shared" si="265"/>
        <v>240</v>
      </c>
      <c r="M543" s="40">
        <f>VLOOKUP(D543,[1]apoio_Preços_MGS!$A$6:$AN$238,18,FALSE)</f>
        <v>2357.0108214597344</v>
      </c>
      <c r="N543" s="40">
        <f>VLOOKUP(D543,[1]apoio_Preços_MGS!$A$6:$AN$238,19,FALSE)</f>
        <v>0</v>
      </c>
      <c r="O543" s="40">
        <f>VLOOKUP(D543,[1]apoio_Preços_MGS!$A$6:$AN$238,20,FALSE)</f>
        <v>0</v>
      </c>
      <c r="P543" s="40">
        <f>VLOOKUP(D543,[1]apoio_Preços_MGS!$A$6:$AN$238,21,FALSE)</f>
        <v>0</v>
      </c>
      <c r="Q543" s="40">
        <f>VLOOKUP(D543,[1]apoio_Preços_MGS!$A$6:$AN$238,22,FALSE)</f>
        <v>0</v>
      </c>
      <c r="R543" s="40">
        <f>VLOOKUP(D543,[1]apoio_Preços_MGS!$A$6:$AN$238,23,FALSE)</f>
        <v>252.53687372782872</v>
      </c>
      <c r="S543" s="40">
        <f>VLOOKUP(D543,[1]apoio_Preços_MGS!$A$6:$AN$238,24,FALSE)</f>
        <v>0</v>
      </c>
      <c r="T543" s="40">
        <f>VLOOKUP(D543,[1]apoio_Preços_MGS!$A$6:$AN$238,25,FALSE)</f>
        <v>3.2736261409162979</v>
      </c>
      <c r="U543" s="40">
        <f t="shared" si="273"/>
        <v>2612.8213213284794</v>
      </c>
      <c r="V543" s="41">
        <v>0.81799999999999995</v>
      </c>
      <c r="W543" s="40">
        <f t="shared" si="274"/>
        <v>2137.2878408466959</v>
      </c>
      <c r="X543" s="40">
        <f>VLOOKUP(D543,[1]apoio_Preços_MGS!$A$6:$AN$238,29,FALSE)</f>
        <v>52.672499999999992</v>
      </c>
      <c r="Y543" s="40">
        <f>VLOOKUP(D543,[1]apoio_Preços_MGS!$A$6:$AN$238,30,FALSE)</f>
        <v>1.721363914713578</v>
      </c>
      <c r="Z543" s="40">
        <f t="shared" si="266"/>
        <v>54.39386391471357</v>
      </c>
      <c r="AA543" s="40">
        <f>VLOOKUP(D543,[1]apoio_Preços_MGS!$A$6:$AN$238,32,FALSE)</f>
        <v>4.5254607772026896</v>
      </c>
      <c r="AB543" s="40">
        <f>VLOOKUP(D543,[1]apoio_Preços_MGS!$A$6:$AN$238,33,FALSE)</f>
        <v>114.60128756822279</v>
      </c>
      <c r="AC543" s="41">
        <f>VLOOKUP(D543,[1]apoio_Preços_MGS!$A$6:$AN$238,34,FALSE)</f>
        <v>4.314396214862351E-2</v>
      </c>
      <c r="AD543" s="40">
        <f>(U543+W543+Z543+AB543+AA543+VLOOKUP(C543,[1]apoio_Prec_Folha!$A:$S,7,FALSE))*AC543</f>
        <v>236.02145037460411</v>
      </c>
      <c r="AE543" s="42">
        <f>VLOOKUP(D543,[1]apoio_Preços_MGS!$A$6:$AN$238,36,FALSE)</f>
        <v>7.0000000000000007E-2</v>
      </c>
      <c r="AF543" s="40">
        <f>(U543+W543+Z543+AB543+AD543+AA543+VLOOKUP(C543,[1]apoio_Prec_Folha!$A:$S,7,FALSE))*AE543</f>
        <v>399.46040429339433</v>
      </c>
      <c r="AG543" s="40">
        <f t="shared" si="267"/>
        <v>5559.11</v>
      </c>
      <c r="AH543" s="43">
        <f t="shared" si="268"/>
        <v>6313.59</v>
      </c>
      <c r="AI543" s="43">
        <f t="shared" si="269"/>
        <v>25254.36</v>
      </c>
      <c r="AJ543" s="43">
        <f t="shared" si="270"/>
        <v>1515261.6</v>
      </c>
      <c r="AK543" s="44">
        <f>VLOOKUP(D543,[1]apoio_Preços_MGS!$A$6:$AN$238,39,FALSE)</f>
        <v>200.00000000000003</v>
      </c>
      <c r="AL543" s="44">
        <f>IF(J543="demais municípios",VLOOKUP(D543,[1]apoio_Preços_MGS!$A$6:$AN$238,39,FALSE),0)</f>
        <v>200.00000000000003</v>
      </c>
      <c r="AM543" s="44">
        <v>0</v>
      </c>
      <c r="AN543" s="45">
        <f t="shared" si="289"/>
        <v>800.00000000000011</v>
      </c>
      <c r="AO543" s="44">
        <f>VLOOKUP(D543,[1]apoio_Preços_MGS!$A$6:$AN$238,40,FALSE)</f>
        <v>546.91999999999996</v>
      </c>
      <c r="AP543" s="44">
        <f>IF(J543="demais municípios",VLOOKUP(D543,[1]apoio_Preços_MGS!$A$6:$AN$238,40,FALSE),0)</f>
        <v>546.91999999999996</v>
      </c>
      <c r="AQ543" s="44">
        <v>0</v>
      </c>
      <c r="AR543" s="45">
        <f t="shared" si="290"/>
        <v>2187.6799999999998</v>
      </c>
      <c r="AS543" s="45">
        <f t="shared" si="277"/>
        <v>2987.68</v>
      </c>
      <c r="AT543" s="45">
        <f t="shared" si="280"/>
        <v>179260.79999999999</v>
      </c>
      <c r="AU543" s="62"/>
      <c r="AV543" s="46"/>
      <c r="AW543" s="47"/>
      <c r="AX543" s="48"/>
      <c r="AY543" s="49"/>
      <c r="BA543" s="48"/>
    </row>
    <row r="544" spans="1:53" ht="19.5" customHeight="1" x14ac:dyDescent="0.25">
      <c r="A544" s="33" t="str">
        <f t="shared" si="278"/>
        <v>105660440,03</v>
      </c>
      <c r="B544" s="33" t="str">
        <f t="shared" si="279"/>
        <v>11870,03</v>
      </c>
      <c r="C544" s="34" t="str">
        <f>VLOOKUP(D544,[1]apoio_Preços_MGS!$A$6:$B$238,2,FALSE)</f>
        <v>PORTEIRO</v>
      </c>
      <c r="D544" s="35">
        <v>1187</v>
      </c>
      <c r="E544" s="33" t="str">
        <f>VLOOKUP(D544,[1]apoio_Preços_MGS!$A$6:$F$238,6,FALSE)</f>
        <v>PORTEIRO (SUBS. ABSENT.) - 12x36 DIURNO - 44H</v>
      </c>
      <c r="F544" s="36">
        <f>IFERROR(VLOOKUP(D544,'[1]apoio_cód catmas'!$B$2:$C$863,2,FALSE),0)</f>
        <v>105660</v>
      </c>
      <c r="G544" s="33" t="str">
        <f>IF(H544="N/A",VLOOKUP(F544&amp;40,'[1]apoio_cód catmas'!$A$1:$G$233,4,FALSE),VLOOKUP(F544&amp;H544,'[1]apoio_cód catmas'!$A$1:$G$233,4,FALSE))</f>
        <v>PORTEIRO (COM SUBSTITUICAO) - 12X36 DIURNO - 44H</v>
      </c>
      <c r="H544" s="36">
        <v>44</v>
      </c>
      <c r="I544" s="37">
        <v>0.03</v>
      </c>
      <c r="J544" s="38" t="s">
        <v>46</v>
      </c>
      <c r="K544" s="39">
        <v>167</v>
      </c>
      <c r="L544" s="39">
        <f t="shared" si="265"/>
        <v>10020</v>
      </c>
      <c r="M544" s="40">
        <f>VLOOKUP(D544,[1]apoio_Preços_MGS!$A$6:$AN$238,18,FALSE)</f>
        <v>2357.0108214597344</v>
      </c>
      <c r="N544" s="40">
        <f>VLOOKUP(D544,[1]apoio_Preços_MGS!$A$6:$AN$238,19,FALSE)</f>
        <v>0</v>
      </c>
      <c r="O544" s="40">
        <f>VLOOKUP(D544,[1]apoio_Preços_MGS!$A$6:$AN$238,20,FALSE)</f>
        <v>0</v>
      </c>
      <c r="P544" s="40">
        <f>VLOOKUP(D544,[1]apoio_Preços_MGS!$A$6:$AN$238,21,FALSE)</f>
        <v>0</v>
      </c>
      <c r="Q544" s="40">
        <f>VLOOKUP(D544,[1]apoio_Preços_MGS!$A$6:$AN$238,22,FALSE)</f>
        <v>0</v>
      </c>
      <c r="R544" s="40">
        <f>VLOOKUP(D544,[1]apoio_Preços_MGS!$A$6:$AN$238,23,FALSE)</f>
        <v>252.53687372782872</v>
      </c>
      <c r="S544" s="40">
        <f>VLOOKUP(D544,[1]apoio_Preços_MGS!$A$6:$AN$238,24,FALSE)</f>
        <v>0</v>
      </c>
      <c r="T544" s="40">
        <f>VLOOKUP(D544,[1]apoio_Preços_MGS!$A$6:$AN$238,25,FALSE)</f>
        <v>3.2736261409162979</v>
      </c>
      <c r="U544" s="40">
        <f t="shared" si="273"/>
        <v>2612.8213213284794</v>
      </c>
      <c r="V544" s="41">
        <v>0.81799999999999995</v>
      </c>
      <c r="W544" s="40">
        <f t="shared" si="274"/>
        <v>2137.2878408466959</v>
      </c>
      <c r="X544" s="40">
        <f>VLOOKUP(D544,[1]apoio_Preços_MGS!$A$6:$AN$238,29,FALSE)</f>
        <v>52.672499999999992</v>
      </c>
      <c r="Y544" s="40">
        <f>VLOOKUP(D544,[1]apoio_Preços_MGS!$A$6:$AN$238,30,FALSE)</f>
        <v>1.721363914713578</v>
      </c>
      <c r="Z544" s="40">
        <f t="shared" si="266"/>
        <v>54.39386391471357</v>
      </c>
      <c r="AA544" s="40">
        <f>VLOOKUP(D544,[1]apoio_Preços_MGS!$A$6:$AN$238,32,FALSE)</f>
        <v>4.5254607772026896</v>
      </c>
      <c r="AB544" s="40">
        <f>VLOOKUP(D544,[1]apoio_Preços_MGS!$A$6:$AN$238,33,FALSE)</f>
        <v>114.60128756822279</v>
      </c>
      <c r="AC544" s="41">
        <f>VLOOKUP(D544,[1]apoio_Preços_MGS!$A$6:$AN$238,34,FALSE)</f>
        <v>4.314396214862351E-2</v>
      </c>
      <c r="AD544" s="40">
        <f>(U544+W544+Z544+AB544+AA544+VLOOKUP(C544,[1]apoio_Prec_Folha!$A:$S,7,FALSE))*AC544</f>
        <v>236.02145037460411</v>
      </c>
      <c r="AE544" s="42">
        <f>VLOOKUP(D544,[1]apoio_Preços_MGS!$A$6:$AN$238,36,FALSE)</f>
        <v>7.0000000000000007E-2</v>
      </c>
      <c r="AF544" s="40">
        <f>(U544+W544+Z544+AB544+AD544+AA544+VLOOKUP(C544,[1]apoio_Prec_Folha!$A:$S,7,FALSE))*AE544</f>
        <v>399.46040429339433</v>
      </c>
      <c r="AG544" s="40">
        <f t="shared" si="267"/>
        <v>5559.11</v>
      </c>
      <c r="AH544" s="43">
        <f t="shared" si="268"/>
        <v>6335.16</v>
      </c>
      <c r="AI544" s="43">
        <f t="shared" si="269"/>
        <v>1057971.72</v>
      </c>
      <c r="AJ544" s="43">
        <f t="shared" si="270"/>
        <v>63478303.199999996</v>
      </c>
      <c r="AK544" s="44">
        <f>VLOOKUP(D544,[1]apoio_Preços_MGS!$A$6:$AN$238,39,FALSE)</f>
        <v>200.00000000000003</v>
      </c>
      <c r="AL544" s="44">
        <f>IF(J544="demais municípios",VLOOKUP(D544,[1]apoio_Preços_MGS!$A$6:$AN$238,39,FALSE),0)</f>
        <v>200.00000000000003</v>
      </c>
      <c r="AM544" s="44">
        <v>0</v>
      </c>
      <c r="AN544" s="45">
        <f t="shared" si="289"/>
        <v>33400.000000000007</v>
      </c>
      <c r="AO544" s="44">
        <f>VLOOKUP(D544,[1]apoio_Preços_MGS!$A$6:$AN$238,40,FALSE)</f>
        <v>546.91999999999996</v>
      </c>
      <c r="AP544" s="44">
        <f>IF(J544="demais municípios",VLOOKUP(D544,[1]apoio_Preços_MGS!$A$6:$AN$238,40,FALSE),0)</f>
        <v>546.91999999999996</v>
      </c>
      <c r="AQ544" s="44">
        <v>0</v>
      </c>
      <c r="AR544" s="45">
        <f t="shared" si="290"/>
        <v>91335.64</v>
      </c>
      <c r="AS544" s="45">
        <f t="shared" si="277"/>
        <v>124735.64000000001</v>
      </c>
      <c r="AT544" s="45">
        <f t="shared" si="280"/>
        <v>7484138.4000000004</v>
      </c>
      <c r="AU544" s="62"/>
      <c r="AV544" s="46"/>
      <c r="AW544" s="47"/>
      <c r="AX544" s="48"/>
      <c r="AY544" s="49"/>
      <c r="BA544" s="48"/>
    </row>
    <row r="545" spans="1:53" ht="19.5" customHeight="1" x14ac:dyDescent="0.25">
      <c r="A545" s="33" t="str">
        <f t="shared" si="278"/>
        <v>105660440,038</v>
      </c>
      <c r="B545" s="33" t="str">
        <f t="shared" si="279"/>
        <v>11870,038</v>
      </c>
      <c r="C545" s="34" t="str">
        <f>VLOOKUP(D545,[1]apoio_Preços_MGS!$A$6:$B$238,2,FALSE)</f>
        <v>PORTEIRO</v>
      </c>
      <c r="D545" s="35">
        <v>1187</v>
      </c>
      <c r="E545" s="33" t="str">
        <f>VLOOKUP(D545,[1]apoio_Preços_MGS!$A$6:$F$238,6,FALSE)</f>
        <v>PORTEIRO (SUBS. ABSENT.) - 12x36 DIURNO - 44H</v>
      </c>
      <c r="F545" s="36">
        <f>IFERROR(VLOOKUP(D545,'[1]apoio_cód catmas'!$B$2:$C$863,2,FALSE),0)</f>
        <v>105660</v>
      </c>
      <c r="G545" s="33" t="str">
        <f>IF(H545="N/A",VLOOKUP(F545&amp;40,'[1]apoio_cód catmas'!$A$1:$G$233,4,FALSE),VLOOKUP(F545&amp;H545,'[1]apoio_cód catmas'!$A$1:$G$233,4,FALSE))</f>
        <v>PORTEIRO (COM SUBSTITUICAO) - 12X36 DIURNO - 44H</v>
      </c>
      <c r="H545" s="36">
        <v>44</v>
      </c>
      <c r="I545" s="37">
        <v>3.7999999999999999E-2</v>
      </c>
      <c r="J545" s="38" t="s">
        <v>46</v>
      </c>
      <c r="K545" s="39">
        <v>17</v>
      </c>
      <c r="L545" s="39">
        <f t="shared" si="265"/>
        <v>1020</v>
      </c>
      <c r="M545" s="40">
        <f>VLOOKUP(D545,[1]apoio_Preços_MGS!$A$6:$AN$238,18,FALSE)</f>
        <v>2357.0108214597344</v>
      </c>
      <c r="N545" s="40">
        <f>VLOOKUP(D545,[1]apoio_Preços_MGS!$A$6:$AN$238,19,FALSE)</f>
        <v>0</v>
      </c>
      <c r="O545" s="40">
        <f>VLOOKUP(D545,[1]apoio_Preços_MGS!$A$6:$AN$238,20,FALSE)</f>
        <v>0</v>
      </c>
      <c r="P545" s="40">
        <f>VLOOKUP(D545,[1]apoio_Preços_MGS!$A$6:$AN$238,21,FALSE)</f>
        <v>0</v>
      </c>
      <c r="Q545" s="40">
        <f>VLOOKUP(D545,[1]apoio_Preços_MGS!$A$6:$AN$238,22,FALSE)</f>
        <v>0</v>
      </c>
      <c r="R545" s="40">
        <f>VLOOKUP(D545,[1]apoio_Preços_MGS!$A$6:$AN$238,23,FALSE)</f>
        <v>252.53687372782872</v>
      </c>
      <c r="S545" s="40">
        <f>VLOOKUP(D545,[1]apoio_Preços_MGS!$A$6:$AN$238,24,FALSE)</f>
        <v>0</v>
      </c>
      <c r="T545" s="40">
        <f>VLOOKUP(D545,[1]apoio_Preços_MGS!$A$6:$AN$238,25,FALSE)</f>
        <v>3.2736261409162979</v>
      </c>
      <c r="U545" s="40">
        <f t="shared" si="273"/>
        <v>2612.8213213284794</v>
      </c>
      <c r="V545" s="41">
        <v>0.81799999999999995</v>
      </c>
      <c r="W545" s="40">
        <f t="shared" si="274"/>
        <v>2137.2878408466959</v>
      </c>
      <c r="X545" s="40">
        <f>VLOOKUP(D545,[1]apoio_Preços_MGS!$A$6:$AN$238,29,FALSE)</f>
        <v>52.672499999999992</v>
      </c>
      <c r="Y545" s="40">
        <f>VLOOKUP(D545,[1]apoio_Preços_MGS!$A$6:$AN$238,30,FALSE)</f>
        <v>1.721363914713578</v>
      </c>
      <c r="Z545" s="40">
        <f t="shared" si="266"/>
        <v>54.39386391471357</v>
      </c>
      <c r="AA545" s="40">
        <f>VLOOKUP(D545,[1]apoio_Preços_MGS!$A$6:$AN$238,32,FALSE)</f>
        <v>4.5254607772026896</v>
      </c>
      <c r="AB545" s="40">
        <f>VLOOKUP(D545,[1]apoio_Preços_MGS!$A$6:$AN$238,33,FALSE)</f>
        <v>114.60128756822279</v>
      </c>
      <c r="AC545" s="41">
        <f>VLOOKUP(D545,[1]apoio_Preços_MGS!$A$6:$AN$238,34,FALSE)</f>
        <v>4.314396214862351E-2</v>
      </c>
      <c r="AD545" s="40">
        <f>(U545+W545+Z545+AB545+AA545+VLOOKUP(C545,[1]apoio_Prec_Folha!$A:$S,7,FALSE))*AC545</f>
        <v>236.02145037460411</v>
      </c>
      <c r="AE545" s="42">
        <f>VLOOKUP(D545,[1]apoio_Preços_MGS!$A$6:$AN$238,36,FALSE)</f>
        <v>7.0000000000000007E-2</v>
      </c>
      <c r="AF545" s="40">
        <f>(U545+W545+Z545+AB545+AD545+AA545+VLOOKUP(C545,[1]apoio_Prec_Folha!$A:$S,7,FALSE))*AE545</f>
        <v>399.46040429339433</v>
      </c>
      <c r="AG545" s="40">
        <f t="shared" si="267"/>
        <v>5559.11</v>
      </c>
      <c r="AH545" s="43">
        <f t="shared" si="268"/>
        <v>6393.47</v>
      </c>
      <c r="AI545" s="43">
        <f t="shared" si="269"/>
        <v>108688.99</v>
      </c>
      <c r="AJ545" s="43">
        <f t="shared" si="270"/>
        <v>6521339.4000000004</v>
      </c>
      <c r="AK545" s="44">
        <f>VLOOKUP(D545,[1]apoio_Preços_MGS!$A$6:$AN$238,39,FALSE)</f>
        <v>200.00000000000003</v>
      </c>
      <c r="AL545" s="44">
        <f>IF(J545="demais municípios",VLOOKUP(D545,[1]apoio_Preços_MGS!$A$6:$AN$238,39,FALSE),0)</f>
        <v>200.00000000000003</v>
      </c>
      <c r="AM545" s="44">
        <v>0</v>
      </c>
      <c r="AN545" s="45">
        <f t="shared" si="289"/>
        <v>3400.0000000000005</v>
      </c>
      <c r="AO545" s="44">
        <f>VLOOKUP(D545,[1]apoio_Preços_MGS!$A$6:$AN$238,40,FALSE)</f>
        <v>546.91999999999996</v>
      </c>
      <c r="AP545" s="44">
        <f>IF(J545="demais municípios",VLOOKUP(D545,[1]apoio_Preços_MGS!$A$6:$AN$238,40,FALSE),0)</f>
        <v>546.91999999999996</v>
      </c>
      <c r="AQ545" s="44">
        <v>0</v>
      </c>
      <c r="AR545" s="45">
        <f t="shared" si="290"/>
        <v>9297.64</v>
      </c>
      <c r="AS545" s="45">
        <f t="shared" si="277"/>
        <v>12697.64</v>
      </c>
      <c r="AT545" s="45">
        <f t="shared" si="280"/>
        <v>761858.39999999991</v>
      </c>
      <c r="AU545" s="62"/>
      <c r="AV545" s="46"/>
      <c r="AW545" s="47"/>
      <c r="AX545" s="48"/>
      <c r="AY545" s="49"/>
      <c r="BA545" s="48"/>
    </row>
    <row r="546" spans="1:53" ht="19.5" customHeight="1" x14ac:dyDescent="0.25">
      <c r="A546" s="33" t="str">
        <f t="shared" si="278"/>
        <v>105660440,04</v>
      </c>
      <c r="B546" s="33" t="str">
        <f t="shared" si="279"/>
        <v>11870,04</v>
      </c>
      <c r="C546" s="34" t="str">
        <f>VLOOKUP(D546,[1]apoio_Preços_MGS!$A$6:$B$238,2,FALSE)</f>
        <v>PORTEIRO</v>
      </c>
      <c r="D546" s="35">
        <v>1187</v>
      </c>
      <c r="E546" s="33" t="str">
        <f>VLOOKUP(D546,[1]apoio_Preços_MGS!$A$6:$F$238,6,FALSE)</f>
        <v>PORTEIRO (SUBS. ABSENT.) - 12x36 DIURNO - 44H</v>
      </c>
      <c r="F546" s="36">
        <f>IFERROR(VLOOKUP(D546,'[1]apoio_cód catmas'!$B$2:$C$863,2,FALSE),0)</f>
        <v>105660</v>
      </c>
      <c r="G546" s="33" t="str">
        <f>IF(H546="N/A",VLOOKUP(F546&amp;40,'[1]apoio_cód catmas'!$A$1:$G$233,4,FALSE),VLOOKUP(F546&amp;H546,'[1]apoio_cód catmas'!$A$1:$G$233,4,FALSE))</f>
        <v>PORTEIRO (COM SUBSTITUICAO) - 12X36 DIURNO - 44H</v>
      </c>
      <c r="H546" s="36">
        <v>44</v>
      </c>
      <c r="I546" s="37">
        <v>0.04</v>
      </c>
      <c r="J546" s="38" t="s">
        <v>46</v>
      </c>
      <c r="K546" s="39">
        <v>18</v>
      </c>
      <c r="L546" s="39">
        <f t="shared" si="265"/>
        <v>1080</v>
      </c>
      <c r="M546" s="40">
        <f>VLOOKUP(D546,[1]apoio_Preços_MGS!$A$6:$AN$238,18,FALSE)</f>
        <v>2357.0108214597344</v>
      </c>
      <c r="N546" s="40">
        <f>VLOOKUP(D546,[1]apoio_Preços_MGS!$A$6:$AN$238,19,FALSE)</f>
        <v>0</v>
      </c>
      <c r="O546" s="40">
        <f>VLOOKUP(D546,[1]apoio_Preços_MGS!$A$6:$AN$238,20,FALSE)</f>
        <v>0</v>
      </c>
      <c r="P546" s="40">
        <f>VLOOKUP(D546,[1]apoio_Preços_MGS!$A$6:$AN$238,21,FALSE)</f>
        <v>0</v>
      </c>
      <c r="Q546" s="40">
        <f>VLOOKUP(D546,[1]apoio_Preços_MGS!$A$6:$AN$238,22,FALSE)</f>
        <v>0</v>
      </c>
      <c r="R546" s="40">
        <f>VLOOKUP(D546,[1]apoio_Preços_MGS!$A$6:$AN$238,23,FALSE)</f>
        <v>252.53687372782872</v>
      </c>
      <c r="S546" s="40">
        <f>VLOOKUP(D546,[1]apoio_Preços_MGS!$A$6:$AN$238,24,FALSE)</f>
        <v>0</v>
      </c>
      <c r="T546" s="40">
        <f>VLOOKUP(D546,[1]apoio_Preços_MGS!$A$6:$AN$238,25,FALSE)</f>
        <v>3.2736261409162979</v>
      </c>
      <c r="U546" s="40">
        <f t="shared" si="273"/>
        <v>2612.8213213284794</v>
      </c>
      <c r="V546" s="41">
        <v>0.81799999999999995</v>
      </c>
      <c r="W546" s="40">
        <f t="shared" si="274"/>
        <v>2137.2878408466959</v>
      </c>
      <c r="X546" s="40">
        <f>VLOOKUP(D546,[1]apoio_Preços_MGS!$A$6:$AN$238,29,FALSE)</f>
        <v>52.672499999999992</v>
      </c>
      <c r="Y546" s="40">
        <f>VLOOKUP(D546,[1]apoio_Preços_MGS!$A$6:$AN$238,30,FALSE)</f>
        <v>1.721363914713578</v>
      </c>
      <c r="Z546" s="40">
        <f t="shared" si="266"/>
        <v>54.39386391471357</v>
      </c>
      <c r="AA546" s="40">
        <f>VLOOKUP(D546,[1]apoio_Preços_MGS!$A$6:$AN$238,32,FALSE)</f>
        <v>4.5254607772026896</v>
      </c>
      <c r="AB546" s="40">
        <f>VLOOKUP(D546,[1]apoio_Preços_MGS!$A$6:$AN$238,33,FALSE)</f>
        <v>114.60128756822279</v>
      </c>
      <c r="AC546" s="41">
        <f>VLOOKUP(D546,[1]apoio_Preços_MGS!$A$6:$AN$238,34,FALSE)</f>
        <v>4.314396214862351E-2</v>
      </c>
      <c r="AD546" s="40">
        <f>(U546+W546+Z546+AB546+AA546+VLOOKUP(C546,[1]apoio_Prec_Folha!$A:$S,7,FALSE))*AC546</f>
        <v>236.02145037460411</v>
      </c>
      <c r="AE546" s="42">
        <f>VLOOKUP(D546,[1]apoio_Preços_MGS!$A$6:$AN$238,36,FALSE)</f>
        <v>7.0000000000000007E-2</v>
      </c>
      <c r="AF546" s="40">
        <f>(U546+W546+Z546+AB546+AD546+AA546+VLOOKUP(C546,[1]apoio_Prec_Folha!$A:$S,7,FALSE))*AE546</f>
        <v>399.46040429339433</v>
      </c>
      <c r="AG546" s="40">
        <f t="shared" si="267"/>
        <v>5559.11</v>
      </c>
      <c r="AH546" s="43">
        <f t="shared" si="268"/>
        <v>6408.2</v>
      </c>
      <c r="AI546" s="43">
        <f t="shared" si="269"/>
        <v>115347.59999999999</v>
      </c>
      <c r="AJ546" s="43">
        <f t="shared" si="270"/>
        <v>6920856</v>
      </c>
      <c r="AK546" s="44">
        <f>VLOOKUP(D546,[1]apoio_Preços_MGS!$A$6:$AN$238,39,FALSE)</f>
        <v>200.00000000000003</v>
      </c>
      <c r="AL546" s="44">
        <f>IF(J546="demais municípios",VLOOKUP(D546,[1]apoio_Preços_MGS!$A$6:$AN$238,39,FALSE),0)</f>
        <v>200.00000000000003</v>
      </c>
      <c r="AM546" s="44">
        <v>0</v>
      </c>
      <c r="AN546" s="45">
        <f t="shared" si="289"/>
        <v>3600.0000000000005</v>
      </c>
      <c r="AO546" s="44">
        <f>VLOOKUP(D546,[1]apoio_Preços_MGS!$A$6:$AN$238,40,FALSE)</f>
        <v>546.91999999999996</v>
      </c>
      <c r="AP546" s="44">
        <f>IF(J546="demais municípios",VLOOKUP(D546,[1]apoio_Preços_MGS!$A$6:$AN$238,40,FALSE),0)</f>
        <v>546.91999999999996</v>
      </c>
      <c r="AQ546" s="44">
        <v>0</v>
      </c>
      <c r="AR546" s="45">
        <f t="shared" si="290"/>
        <v>9844.56</v>
      </c>
      <c r="AS546" s="45">
        <f t="shared" si="277"/>
        <v>13444.56</v>
      </c>
      <c r="AT546" s="45">
        <f t="shared" si="280"/>
        <v>806673.6</v>
      </c>
      <c r="AU546" s="62"/>
      <c r="AV546" s="46"/>
      <c r="AW546" s="47"/>
      <c r="AX546" s="48"/>
      <c r="AY546" s="49"/>
      <c r="BA546" s="48"/>
    </row>
    <row r="547" spans="1:53" ht="19.5" customHeight="1" x14ac:dyDescent="0.25">
      <c r="A547" s="33" t="str">
        <f t="shared" si="278"/>
        <v>105660440,05</v>
      </c>
      <c r="B547" s="33" t="str">
        <f t="shared" si="279"/>
        <v>11870,05</v>
      </c>
      <c r="C547" s="34" t="str">
        <f>VLOOKUP(D547,[1]apoio_Preços_MGS!$A$6:$B$238,2,FALSE)</f>
        <v>PORTEIRO</v>
      </c>
      <c r="D547" s="35">
        <v>1187</v>
      </c>
      <c r="E547" s="33" t="str">
        <f>VLOOKUP(D547,[1]apoio_Preços_MGS!$A$6:$F$238,6,FALSE)</f>
        <v>PORTEIRO (SUBS. ABSENT.) - 12x36 DIURNO - 44H</v>
      </c>
      <c r="F547" s="36">
        <f>IFERROR(VLOOKUP(D547,'[1]apoio_cód catmas'!$B$2:$C$863,2,FALSE),0)</f>
        <v>105660</v>
      </c>
      <c r="G547" s="33" t="str">
        <f>IF(H547="N/A",VLOOKUP(F547&amp;40,'[1]apoio_cód catmas'!$A$1:$G$233,4,FALSE),VLOOKUP(F547&amp;H547,'[1]apoio_cód catmas'!$A$1:$G$233,4,FALSE))</f>
        <v>PORTEIRO (COM SUBSTITUICAO) - 12X36 DIURNO - 44H</v>
      </c>
      <c r="H547" s="36">
        <v>44</v>
      </c>
      <c r="I547" s="37">
        <v>0.05</v>
      </c>
      <c r="J547" s="38" t="s">
        <v>46</v>
      </c>
      <c r="K547" s="39">
        <f>623-K548</f>
        <v>43</v>
      </c>
      <c r="L547" s="39">
        <f t="shared" si="265"/>
        <v>2580</v>
      </c>
      <c r="M547" s="40">
        <f>VLOOKUP(D547,[1]apoio_Preços_MGS!$A$6:$AN$238,18,FALSE)</f>
        <v>2357.0108214597344</v>
      </c>
      <c r="N547" s="40">
        <f>VLOOKUP(D547,[1]apoio_Preços_MGS!$A$6:$AN$238,19,FALSE)</f>
        <v>0</v>
      </c>
      <c r="O547" s="40">
        <f>VLOOKUP(D547,[1]apoio_Preços_MGS!$A$6:$AN$238,20,FALSE)</f>
        <v>0</v>
      </c>
      <c r="P547" s="40">
        <f>VLOOKUP(D547,[1]apoio_Preços_MGS!$A$6:$AN$238,21,FALSE)</f>
        <v>0</v>
      </c>
      <c r="Q547" s="40">
        <f>VLOOKUP(D547,[1]apoio_Preços_MGS!$A$6:$AN$238,22,FALSE)</f>
        <v>0</v>
      </c>
      <c r="R547" s="40">
        <f>VLOOKUP(D547,[1]apoio_Preços_MGS!$A$6:$AN$238,23,FALSE)</f>
        <v>252.53687372782872</v>
      </c>
      <c r="S547" s="40">
        <f>VLOOKUP(D547,[1]apoio_Preços_MGS!$A$6:$AN$238,24,FALSE)</f>
        <v>0</v>
      </c>
      <c r="T547" s="40">
        <f>VLOOKUP(D547,[1]apoio_Preços_MGS!$A$6:$AN$238,25,FALSE)</f>
        <v>3.2736261409162979</v>
      </c>
      <c r="U547" s="40">
        <f t="shared" si="273"/>
        <v>2612.8213213284794</v>
      </c>
      <c r="V547" s="41">
        <v>0.81799999999999995</v>
      </c>
      <c r="W547" s="40">
        <f t="shared" si="274"/>
        <v>2137.2878408466959</v>
      </c>
      <c r="X547" s="40">
        <f>VLOOKUP(D547,[1]apoio_Preços_MGS!$A$6:$AN$238,29,FALSE)</f>
        <v>52.672499999999992</v>
      </c>
      <c r="Y547" s="40">
        <f>VLOOKUP(D547,[1]apoio_Preços_MGS!$A$6:$AN$238,30,FALSE)</f>
        <v>1.721363914713578</v>
      </c>
      <c r="Z547" s="40">
        <f t="shared" si="266"/>
        <v>54.39386391471357</v>
      </c>
      <c r="AA547" s="40">
        <f>VLOOKUP(D547,[1]apoio_Preços_MGS!$A$6:$AN$238,32,FALSE)</f>
        <v>4.5254607772026896</v>
      </c>
      <c r="AB547" s="40">
        <f>VLOOKUP(D547,[1]apoio_Preços_MGS!$A$6:$AN$238,33,FALSE)</f>
        <v>114.60128756822279</v>
      </c>
      <c r="AC547" s="41">
        <f>VLOOKUP(D547,[1]apoio_Preços_MGS!$A$6:$AN$238,34,FALSE)</f>
        <v>4.314396214862351E-2</v>
      </c>
      <c r="AD547" s="40">
        <f>(U547+W547+Z547+AB547+AA547+VLOOKUP(C547,[1]apoio_Prec_Folha!$A:$S,7,FALSE))*AC547</f>
        <v>236.02145037460411</v>
      </c>
      <c r="AE547" s="42">
        <f>VLOOKUP(D547,[1]apoio_Preços_MGS!$A$6:$AN$238,36,FALSE)</f>
        <v>7.0000000000000007E-2</v>
      </c>
      <c r="AF547" s="40">
        <f>(U547+W547+Z547+AB547+AD547+AA547+VLOOKUP(C547,[1]apoio_Prec_Folha!$A:$S,7,FALSE))*AE547</f>
        <v>399.46040429339433</v>
      </c>
      <c r="AG547" s="40">
        <f t="shared" si="267"/>
        <v>5559.11</v>
      </c>
      <c r="AH547" s="43">
        <f t="shared" si="268"/>
        <v>6482.92</v>
      </c>
      <c r="AI547" s="43">
        <f t="shared" si="269"/>
        <v>278765.56</v>
      </c>
      <c r="AJ547" s="43">
        <f t="shared" si="270"/>
        <v>16725933.6</v>
      </c>
      <c r="AK547" s="44">
        <f>VLOOKUP(D547,[1]apoio_Preços_MGS!$A$6:$AN$238,39,FALSE)</f>
        <v>200.00000000000003</v>
      </c>
      <c r="AL547" s="44">
        <f>IF(J547="demais municípios",VLOOKUP(D547,[1]apoio_Preços_MGS!$A$6:$AN$238,39,FALSE),0)</f>
        <v>200.00000000000003</v>
      </c>
      <c r="AM547" s="44">
        <v>0</v>
      </c>
      <c r="AN547" s="45">
        <f t="shared" si="289"/>
        <v>8600.0000000000018</v>
      </c>
      <c r="AO547" s="44">
        <f>VLOOKUP(D547,[1]apoio_Preços_MGS!$A$6:$AN$238,40,FALSE)</f>
        <v>546.91999999999996</v>
      </c>
      <c r="AP547" s="44">
        <f>IF(J547="demais municípios",VLOOKUP(D547,[1]apoio_Preços_MGS!$A$6:$AN$238,40,FALSE),0)</f>
        <v>546.91999999999996</v>
      </c>
      <c r="AQ547" s="44">
        <v>0</v>
      </c>
      <c r="AR547" s="45">
        <f t="shared" si="290"/>
        <v>23517.559999999998</v>
      </c>
      <c r="AS547" s="45">
        <f t="shared" si="277"/>
        <v>32117.559999999998</v>
      </c>
      <c r="AT547" s="45">
        <f t="shared" si="280"/>
        <v>1927053.5999999999</v>
      </c>
      <c r="AU547" s="62"/>
      <c r="AV547" s="46"/>
      <c r="AW547" s="47"/>
      <c r="AX547" s="48"/>
      <c r="AY547" s="49"/>
      <c r="BA547" s="48"/>
    </row>
    <row r="548" spans="1:53" ht="19.5" customHeight="1" x14ac:dyDescent="0.25">
      <c r="A548" s="33" t="str">
        <f t="shared" si="278"/>
        <v>105660440,05</v>
      </c>
      <c r="B548" s="33" t="str">
        <f t="shared" si="279"/>
        <v>11870,05</v>
      </c>
      <c r="C548" s="34" t="str">
        <f>VLOOKUP(D548,[1]apoio_Preços_MGS!$A$6:$B$238,2,FALSE)</f>
        <v>PORTEIRO</v>
      </c>
      <c r="D548" s="35">
        <v>1187</v>
      </c>
      <c r="E548" s="33" t="str">
        <f>VLOOKUP(D548,[1]apoio_Preços_MGS!$A$6:$F$238,6,FALSE)</f>
        <v>PORTEIRO (SUBS. ABSENT.) - 12x36 DIURNO - 44H</v>
      </c>
      <c r="F548" s="36">
        <f>IFERROR(VLOOKUP(D548,'[1]apoio_cód catmas'!$B$2:$C$863,2,FALSE),0)</f>
        <v>105660</v>
      </c>
      <c r="G548" s="33" t="str">
        <f>IF(H548="N/A",VLOOKUP(F548&amp;40,'[1]apoio_cód catmas'!$A$1:$G$233,4,FALSE),VLOOKUP(F548&amp;H548,'[1]apoio_cód catmas'!$A$1:$G$233,4,FALSE))</f>
        <v>PORTEIRO (COM SUBSTITUICAO) - 12X36 DIURNO - 44H</v>
      </c>
      <c r="H548" s="36">
        <v>44</v>
      </c>
      <c r="I548" s="37">
        <v>0.05</v>
      </c>
      <c r="J548" s="38" t="s">
        <v>47</v>
      </c>
      <c r="K548" s="39">
        <v>580</v>
      </c>
      <c r="L548" s="39">
        <f t="shared" si="265"/>
        <v>34800</v>
      </c>
      <c r="M548" s="40">
        <f>VLOOKUP(D548,[1]apoio_Preços_MGS!$A$6:$AN$238,18,FALSE)</f>
        <v>2357.0108214597344</v>
      </c>
      <c r="N548" s="40">
        <f>VLOOKUP(D548,[1]apoio_Preços_MGS!$A$6:$AN$238,19,FALSE)</f>
        <v>0</v>
      </c>
      <c r="O548" s="40">
        <f>VLOOKUP(D548,[1]apoio_Preços_MGS!$A$6:$AN$238,20,FALSE)</f>
        <v>0</v>
      </c>
      <c r="P548" s="40">
        <f>VLOOKUP(D548,[1]apoio_Preços_MGS!$A$6:$AN$238,21,FALSE)</f>
        <v>0</v>
      </c>
      <c r="Q548" s="40">
        <f>VLOOKUP(D548,[1]apoio_Preços_MGS!$A$6:$AN$238,22,FALSE)</f>
        <v>0</v>
      </c>
      <c r="R548" s="40">
        <f>VLOOKUP(D548,[1]apoio_Preços_MGS!$A$6:$AN$238,23,FALSE)</f>
        <v>252.53687372782872</v>
      </c>
      <c r="S548" s="40">
        <f>VLOOKUP(D548,[1]apoio_Preços_MGS!$A$6:$AN$238,24,FALSE)</f>
        <v>0</v>
      </c>
      <c r="T548" s="40">
        <f>VLOOKUP(D548,[1]apoio_Preços_MGS!$A$6:$AN$238,25,FALSE)</f>
        <v>3.2736261409162979</v>
      </c>
      <c r="U548" s="40">
        <f t="shared" si="273"/>
        <v>2612.8213213284794</v>
      </c>
      <c r="V548" s="41">
        <v>0.81799999999999995</v>
      </c>
      <c r="W548" s="40">
        <f t="shared" si="274"/>
        <v>2137.2878408466959</v>
      </c>
      <c r="X548" s="40">
        <f>VLOOKUP(D548,[1]apoio_Preços_MGS!$A$6:$AN$238,29,FALSE)</f>
        <v>52.672499999999992</v>
      </c>
      <c r="Y548" s="40">
        <f>VLOOKUP(D548,[1]apoio_Preços_MGS!$A$6:$AN$238,30,FALSE)</f>
        <v>1.721363914713578</v>
      </c>
      <c r="Z548" s="40">
        <f t="shared" si="266"/>
        <v>54.39386391471357</v>
      </c>
      <c r="AA548" s="40">
        <f>VLOOKUP(D548,[1]apoio_Preços_MGS!$A$6:$AN$238,32,FALSE)</f>
        <v>4.5254607772026896</v>
      </c>
      <c r="AB548" s="40">
        <f>VLOOKUP(D548,[1]apoio_Preços_MGS!$A$6:$AN$238,33,FALSE)</f>
        <v>114.60128756822279</v>
      </c>
      <c r="AC548" s="41">
        <f>VLOOKUP(D548,[1]apoio_Preços_MGS!$A$6:$AN$238,34,FALSE)</f>
        <v>4.314396214862351E-2</v>
      </c>
      <c r="AD548" s="40">
        <f>(U548+W548+Z548+AB548+AA548+VLOOKUP(C548,[1]apoio_Prec_Folha!$A:$S,7,FALSE))*AC548</f>
        <v>236.02145037460411</v>
      </c>
      <c r="AE548" s="42">
        <f>VLOOKUP(D548,[1]apoio_Preços_MGS!$A$6:$AN$238,36,FALSE)</f>
        <v>7.0000000000000007E-2</v>
      </c>
      <c r="AF548" s="40">
        <f>(U548+W548+Z548+AB548+AD548+AA548+VLOOKUP(C548,[1]apoio_Prec_Folha!$A:$S,7,FALSE))*AE548</f>
        <v>399.46040429339433</v>
      </c>
      <c r="AG548" s="40">
        <f t="shared" si="267"/>
        <v>5559.11</v>
      </c>
      <c r="AH548" s="43">
        <f t="shared" si="268"/>
        <v>6482.92</v>
      </c>
      <c r="AI548" s="43">
        <f t="shared" si="269"/>
        <v>3760093.6</v>
      </c>
      <c r="AJ548" s="43">
        <f t="shared" si="270"/>
        <v>225605616</v>
      </c>
      <c r="AK548" s="44">
        <f>VLOOKUP(D548,[1]apoio_Preços_MGS!$A$6:$AN$238,39,FALSE)</f>
        <v>200.00000000000003</v>
      </c>
      <c r="AL548" s="44">
        <f>IF(J548="demais municípios",VLOOKUP(D548,[1]apoio_Preços_MGS!$A$6:$AN$238,39,FALSE),0)</f>
        <v>0</v>
      </c>
      <c r="AM548" s="44">
        <f>TRUNC(ROUND(($I548)/(1-($I548)),5)*VLOOKUP(D548,[1]apoio_Preços_MGS!$A$6:$AN$238,39,FALSE)+VLOOKUP(D548,[1]apoio_Preços_MGS!$A$6:$AN$238,39,FALSE),2)</f>
        <v>210.52</v>
      </c>
      <c r="AN548" s="45">
        <f t="shared" si="281"/>
        <v>122101.6</v>
      </c>
      <c r="AO548" s="44">
        <f>VLOOKUP(D548,[1]apoio_Preços_MGS!$A$6:$AN$238,40,FALSE)</f>
        <v>546.91999999999996</v>
      </c>
      <c r="AP548" s="44">
        <f>IF(J548="demais municípios",VLOOKUP(D548,[1]apoio_Preços_MGS!$A$6:$AN$238,40,FALSE),0)</f>
        <v>0</v>
      </c>
      <c r="AQ548" s="44">
        <f>TRUNC(ROUND(($I548)/(1-($I548)),5)*VLOOKUP(D548,[1]apoio_Preços_MGS!$A$6:$AN$238,40,FALSE)+VLOOKUP(D548,[1]apoio_Preços_MGS!$A$6:$AN$238,40,FALSE),2)</f>
        <v>575.70000000000005</v>
      </c>
      <c r="AR548" s="45">
        <f t="shared" si="282"/>
        <v>333906</v>
      </c>
      <c r="AS548" s="45">
        <f t="shared" si="277"/>
        <v>456007.6</v>
      </c>
      <c r="AT548" s="45">
        <f t="shared" si="280"/>
        <v>27360456</v>
      </c>
      <c r="AU548" s="62"/>
      <c r="AV548" s="46"/>
      <c r="AW548" s="47"/>
      <c r="AX548" s="48"/>
      <c r="AY548" s="49"/>
      <c r="BA548" s="48"/>
    </row>
    <row r="549" spans="1:53" ht="19.5" customHeight="1" x14ac:dyDescent="0.25">
      <c r="A549" s="33" t="str">
        <f t="shared" si="278"/>
        <v>105678440,02</v>
      </c>
      <c r="B549" s="33" t="str">
        <f t="shared" si="279"/>
        <v>11880,02</v>
      </c>
      <c r="C549" s="34" t="str">
        <f>VLOOKUP(D549,[1]apoio_Preços_MGS!$A$6:$B$238,2,FALSE)</f>
        <v>PORTEIRO</v>
      </c>
      <c r="D549" s="35">
        <v>1188</v>
      </c>
      <c r="E549" s="33" t="str">
        <f>VLOOKUP(D549,[1]apoio_Preços_MGS!$A$6:$F$238,6,FALSE)</f>
        <v>PORTEIRO (SUBS. ABSENT.) - 12x36 NOTURNO - 44H</v>
      </c>
      <c r="F549" s="36">
        <f>IFERROR(VLOOKUP(D549,'[1]apoio_cód catmas'!$B$2:$C$863,2,FALSE),0)</f>
        <v>105678</v>
      </c>
      <c r="G549" s="33" t="str">
        <f>IF(H549="N/A",VLOOKUP(F549&amp;40,'[1]apoio_cód catmas'!$A$1:$G$233,4,FALSE),VLOOKUP(F549&amp;H549,'[1]apoio_cód catmas'!$A$1:$G$233,4,FALSE))</f>
        <v>PORTEIRO (COM SUBSTITUICAO) - 12X36 NOTURNO - 44H</v>
      </c>
      <c r="H549" s="36">
        <v>44</v>
      </c>
      <c r="I549" s="37">
        <v>0.02</v>
      </c>
      <c r="J549" s="38" t="s">
        <v>46</v>
      </c>
      <c r="K549" s="39">
        <v>67</v>
      </c>
      <c r="L549" s="39">
        <f t="shared" si="265"/>
        <v>4020</v>
      </c>
      <c r="M549" s="40">
        <f>VLOOKUP(D549,[1]apoio_Preços_MGS!$A$6:$AN$238,18,FALSE)</f>
        <v>2357.0108214597344</v>
      </c>
      <c r="N549" s="40">
        <f>VLOOKUP(D549,[1]apoio_Preços_MGS!$A$6:$AN$238,19,FALSE)</f>
        <v>0</v>
      </c>
      <c r="O549" s="40">
        <f>VLOOKUP(D549,[1]apoio_Preços_MGS!$A$6:$AN$238,20,FALSE)</f>
        <v>549.08796365832757</v>
      </c>
      <c r="P549" s="40">
        <f>VLOOKUP(D549,[1]apoio_Preços_MGS!$A$6:$AN$238,21,FALSE)</f>
        <v>11.985747242951966</v>
      </c>
      <c r="Q549" s="40">
        <f>VLOOKUP(D549,[1]apoio_Preços_MGS!$A$6:$AN$238,22,FALSE)</f>
        <v>44.946538677104229</v>
      </c>
      <c r="R549" s="40">
        <f>VLOOKUP(D549,[1]apoio_Preços_MGS!$A$6:$AN$238,23,FALSE)</f>
        <v>252.53687372782872</v>
      </c>
      <c r="S549" s="40">
        <f>VLOOKUP(D549,[1]apoio_Preços_MGS!$A$6:$AN$238,24,FALSE)</f>
        <v>0</v>
      </c>
      <c r="T549" s="40">
        <f>VLOOKUP(D549,[1]apoio_Preços_MGS!$A$6:$AN$238,25,FALSE)</f>
        <v>3.2736261409162979</v>
      </c>
      <c r="U549" s="40">
        <f t="shared" si="273"/>
        <v>3218.8415709068636</v>
      </c>
      <c r="V549" s="41">
        <v>0.81799999999999995</v>
      </c>
      <c r="W549" s="40">
        <f t="shared" si="274"/>
        <v>2633.0124050018144</v>
      </c>
      <c r="X549" s="40">
        <f>VLOOKUP(D549,[1]apoio_Preços_MGS!$A$6:$AN$238,29,FALSE)</f>
        <v>52.672499999999992</v>
      </c>
      <c r="Y549" s="40">
        <f>VLOOKUP(D549,[1]apoio_Preços_MGS!$A$6:$AN$238,30,FALSE)</f>
        <v>1.721363914713578</v>
      </c>
      <c r="Z549" s="40">
        <f t="shared" si="266"/>
        <v>54.39386391471357</v>
      </c>
      <c r="AA549" s="40">
        <f>VLOOKUP(D549,[1]apoio_Preços_MGS!$A$6:$AN$238,32,FALSE)</f>
        <v>4.5254607772026896</v>
      </c>
      <c r="AB549" s="40">
        <f>VLOOKUP(D549,[1]apoio_Preços_MGS!$A$6:$AN$238,33,FALSE)</f>
        <v>114.60128756822279</v>
      </c>
      <c r="AC549" s="41">
        <f>VLOOKUP(D549,[1]apoio_Preços_MGS!$A$6:$AN$238,34,FALSE)</f>
        <v>4.314396214862351E-2</v>
      </c>
      <c r="AD549" s="40">
        <f>(U549+W549+Z549+AB549+AA549+VLOOKUP(C549,[1]apoio_Prec_Folha!$A:$S,7,FALSE))*AC549</f>
        <v>283.55508691576466</v>
      </c>
      <c r="AE549" s="42">
        <f>VLOOKUP(D549,[1]apoio_Preços_MGS!$A$6:$AN$238,36,FALSE)</f>
        <v>7.0000000000000007E-2</v>
      </c>
      <c r="AF549" s="40">
        <f>(U549+W549+Z549+AB549+AD549+AA549+VLOOKUP(C549,[1]apoio_Prec_Folha!$A:$S,7,FALSE))*AE549</f>
        <v>479.90989581262085</v>
      </c>
      <c r="AG549" s="40">
        <f t="shared" si="267"/>
        <v>6788.83</v>
      </c>
      <c r="AH549" s="43">
        <f t="shared" si="268"/>
        <v>7649.38</v>
      </c>
      <c r="AI549" s="43">
        <f t="shared" si="269"/>
        <v>512508.46</v>
      </c>
      <c r="AJ549" s="43">
        <f t="shared" si="270"/>
        <v>30750507.600000001</v>
      </c>
      <c r="AK549" s="44">
        <f>VLOOKUP(D549,[1]apoio_Preços_MGS!$A$6:$AN$238,39,FALSE)</f>
        <v>200.00000000000003</v>
      </c>
      <c r="AL549" s="44">
        <f>IF(J549="demais municípios",VLOOKUP(D549,[1]apoio_Preços_MGS!$A$6:$AN$238,39,FALSE),0)</f>
        <v>200.00000000000003</v>
      </c>
      <c r="AM549" s="44">
        <v>0</v>
      </c>
      <c r="AN549" s="45">
        <f t="shared" ref="AN549:AN554" si="291">AK549*K549</f>
        <v>13400.000000000002</v>
      </c>
      <c r="AO549" s="44">
        <f>VLOOKUP(D549,[1]apoio_Preços_MGS!$A$6:$AN$238,40,FALSE)</f>
        <v>546.91999999999996</v>
      </c>
      <c r="AP549" s="44">
        <f>IF(J549="demais municípios",VLOOKUP(D549,[1]apoio_Preços_MGS!$A$6:$AN$238,40,FALSE),0)</f>
        <v>546.91999999999996</v>
      </c>
      <c r="AQ549" s="44">
        <v>0</v>
      </c>
      <c r="AR549" s="45">
        <f t="shared" ref="AR549:AR554" si="292">AO549*K549</f>
        <v>36643.64</v>
      </c>
      <c r="AS549" s="45">
        <f t="shared" si="277"/>
        <v>50043.64</v>
      </c>
      <c r="AT549" s="45">
        <f t="shared" si="280"/>
        <v>3002618.4</v>
      </c>
      <c r="AU549" s="62"/>
      <c r="AV549" s="46"/>
      <c r="AW549" s="47"/>
      <c r="AX549" s="48"/>
      <c r="AY549" s="49"/>
      <c r="BA549" s="48"/>
    </row>
    <row r="550" spans="1:53" ht="19.5" customHeight="1" x14ac:dyDescent="0.25">
      <c r="A550" s="33" t="str">
        <f t="shared" si="278"/>
        <v>105678440,027</v>
      </c>
      <c r="B550" s="33" t="str">
        <f t="shared" si="279"/>
        <v>11880,027</v>
      </c>
      <c r="C550" s="34" t="str">
        <f>VLOOKUP(D550,[1]apoio_Preços_MGS!$A$6:$B$238,2,FALSE)</f>
        <v>PORTEIRO</v>
      </c>
      <c r="D550" s="35">
        <v>1188</v>
      </c>
      <c r="E550" s="33" t="str">
        <f>VLOOKUP(D550,[1]apoio_Preços_MGS!$A$6:$F$238,6,FALSE)</f>
        <v>PORTEIRO (SUBS. ABSENT.) - 12x36 NOTURNO - 44H</v>
      </c>
      <c r="F550" s="36">
        <f>IFERROR(VLOOKUP(D550,'[1]apoio_cód catmas'!$B$2:$C$863,2,FALSE),0)</f>
        <v>105678</v>
      </c>
      <c r="G550" s="33" t="str">
        <f>IF(H550="N/A",VLOOKUP(F550&amp;40,'[1]apoio_cód catmas'!$A$1:$G$233,4,FALSE),VLOOKUP(F550&amp;H550,'[1]apoio_cód catmas'!$A$1:$G$233,4,FALSE))</f>
        <v>PORTEIRO (COM SUBSTITUICAO) - 12X36 NOTURNO - 44H</v>
      </c>
      <c r="H550" s="36">
        <v>44</v>
      </c>
      <c r="I550" s="37">
        <v>2.7000000000000003E-2</v>
      </c>
      <c r="J550" s="38" t="s">
        <v>46</v>
      </c>
      <c r="K550" s="39">
        <v>4</v>
      </c>
      <c r="L550" s="39">
        <f t="shared" si="265"/>
        <v>240</v>
      </c>
      <c r="M550" s="40">
        <f>VLOOKUP(D550,[1]apoio_Preços_MGS!$A$6:$AN$238,18,FALSE)</f>
        <v>2357.0108214597344</v>
      </c>
      <c r="N550" s="40">
        <f>VLOOKUP(D550,[1]apoio_Preços_MGS!$A$6:$AN$238,19,FALSE)</f>
        <v>0</v>
      </c>
      <c r="O550" s="40">
        <f>VLOOKUP(D550,[1]apoio_Preços_MGS!$A$6:$AN$238,20,FALSE)</f>
        <v>549.08796365832757</v>
      </c>
      <c r="P550" s="40">
        <f>VLOOKUP(D550,[1]apoio_Preços_MGS!$A$6:$AN$238,21,FALSE)</f>
        <v>11.985747242951966</v>
      </c>
      <c r="Q550" s="40">
        <f>VLOOKUP(D550,[1]apoio_Preços_MGS!$A$6:$AN$238,22,FALSE)</f>
        <v>44.946538677104229</v>
      </c>
      <c r="R550" s="40">
        <f>VLOOKUP(D550,[1]apoio_Preços_MGS!$A$6:$AN$238,23,FALSE)</f>
        <v>252.53687372782872</v>
      </c>
      <c r="S550" s="40">
        <f>VLOOKUP(D550,[1]apoio_Preços_MGS!$A$6:$AN$238,24,FALSE)</f>
        <v>0</v>
      </c>
      <c r="T550" s="40">
        <f>VLOOKUP(D550,[1]apoio_Preços_MGS!$A$6:$AN$238,25,FALSE)</f>
        <v>3.2736261409162979</v>
      </c>
      <c r="U550" s="40">
        <f t="shared" si="273"/>
        <v>3218.8415709068636</v>
      </c>
      <c r="V550" s="41">
        <v>0.81799999999999995</v>
      </c>
      <c r="W550" s="40">
        <f t="shared" si="274"/>
        <v>2633.0124050018144</v>
      </c>
      <c r="X550" s="40">
        <f>VLOOKUP(D550,[1]apoio_Preços_MGS!$A$6:$AN$238,29,FALSE)</f>
        <v>52.672499999999992</v>
      </c>
      <c r="Y550" s="40">
        <f>VLOOKUP(D550,[1]apoio_Preços_MGS!$A$6:$AN$238,30,FALSE)</f>
        <v>1.721363914713578</v>
      </c>
      <c r="Z550" s="40">
        <f t="shared" si="266"/>
        <v>54.39386391471357</v>
      </c>
      <c r="AA550" s="40">
        <f>VLOOKUP(D550,[1]apoio_Preços_MGS!$A$6:$AN$238,32,FALSE)</f>
        <v>4.5254607772026896</v>
      </c>
      <c r="AB550" s="40">
        <f>VLOOKUP(D550,[1]apoio_Preços_MGS!$A$6:$AN$238,33,FALSE)</f>
        <v>114.60128756822279</v>
      </c>
      <c r="AC550" s="41">
        <f>VLOOKUP(D550,[1]apoio_Preços_MGS!$A$6:$AN$238,34,FALSE)</f>
        <v>4.314396214862351E-2</v>
      </c>
      <c r="AD550" s="40">
        <f>(U550+W550+Z550+AB550+AA550+VLOOKUP(C550,[1]apoio_Prec_Folha!$A:$S,7,FALSE))*AC550</f>
        <v>283.55508691576466</v>
      </c>
      <c r="AE550" s="42">
        <f>VLOOKUP(D550,[1]apoio_Preços_MGS!$A$6:$AN$238,36,FALSE)</f>
        <v>7.0000000000000007E-2</v>
      </c>
      <c r="AF550" s="40">
        <f>(U550+W550+Z550+AB550+AD550+AA550+VLOOKUP(C550,[1]apoio_Prec_Folha!$A:$S,7,FALSE))*AE550</f>
        <v>479.90989581262085</v>
      </c>
      <c r="AG550" s="40">
        <f t="shared" si="267"/>
        <v>6788.83</v>
      </c>
      <c r="AH550" s="43">
        <f t="shared" si="268"/>
        <v>7710.21</v>
      </c>
      <c r="AI550" s="43">
        <f t="shared" si="269"/>
        <v>30840.84</v>
      </c>
      <c r="AJ550" s="43">
        <f t="shared" si="270"/>
        <v>1850450.4</v>
      </c>
      <c r="AK550" s="44">
        <f>VLOOKUP(D550,[1]apoio_Preços_MGS!$A$6:$AN$238,39,FALSE)</f>
        <v>200.00000000000003</v>
      </c>
      <c r="AL550" s="44">
        <f>IF(J550="demais municípios",VLOOKUP(D550,[1]apoio_Preços_MGS!$A$6:$AN$238,39,FALSE),0)</f>
        <v>200.00000000000003</v>
      </c>
      <c r="AM550" s="44">
        <v>0</v>
      </c>
      <c r="AN550" s="45">
        <f t="shared" si="291"/>
        <v>800.00000000000011</v>
      </c>
      <c r="AO550" s="44">
        <f>VLOOKUP(D550,[1]apoio_Preços_MGS!$A$6:$AN$238,40,FALSE)</f>
        <v>546.91999999999996</v>
      </c>
      <c r="AP550" s="44">
        <f>IF(J550="demais municípios",VLOOKUP(D550,[1]apoio_Preços_MGS!$A$6:$AN$238,40,FALSE),0)</f>
        <v>546.91999999999996</v>
      </c>
      <c r="AQ550" s="44">
        <v>0</v>
      </c>
      <c r="AR550" s="45">
        <f t="shared" si="292"/>
        <v>2187.6799999999998</v>
      </c>
      <c r="AS550" s="45">
        <f t="shared" si="277"/>
        <v>2987.68</v>
      </c>
      <c r="AT550" s="45">
        <f t="shared" si="280"/>
        <v>179260.79999999999</v>
      </c>
      <c r="AU550" s="62"/>
      <c r="AV550" s="46"/>
      <c r="AW550" s="47"/>
      <c r="AX550" s="48"/>
      <c r="AY550" s="49"/>
      <c r="BA550" s="48"/>
    </row>
    <row r="551" spans="1:53" ht="19.5" customHeight="1" x14ac:dyDescent="0.25">
      <c r="A551" s="33" t="str">
        <f t="shared" si="278"/>
        <v>105678440,03</v>
      </c>
      <c r="B551" s="33" t="str">
        <f t="shared" si="279"/>
        <v>11880,03</v>
      </c>
      <c r="C551" s="34" t="str">
        <f>VLOOKUP(D551,[1]apoio_Preços_MGS!$A$6:$B$238,2,FALSE)</f>
        <v>PORTEIRO</v>
      </c>
      <c r="D551" s="35">
        <v>1188</v>
      </c>
      <c r="E551" s="33" t="str">
        <f>VLOOKUP(D551,[1]apoio_Preços_MGS!$A$6:$F$238,6,FALSE)</f>
        <v>PORTEIRO (SUBS. ABSENT.) - 12x36 NOTURNO - 44H</v>
      </c>
      <c r="F551" s="36">
        <f>IFERROR(VLOOKUP(D551,'[1]apoio_cód catmas'!$B$2:$C$863,2,FALSE),0)</f>
        <v>105678</v>
      </c>
      <c r="G551" s="33" t="str">
        <f>IF(H551="N/A",VLOOKUP(F551&amp;40,'[1]apoio_cód catmas'!$A$1:$G$233,4,FALSE),VLOOKUP(F551&amp;H551,'[1]apoio_cód catmas'!$A$1:$G$233,4,FALSE))</f>
        <v>PORTEIRO (COM SUBSTITUICAO) - 12X36 NOTURNO - 44H</v>
      </c>
      <c r="H551" s="36">
        <v>44</v>
      </c>
      <c r="I551" s="37">
        <v>0.03</v>
      </c>
      <c r="J551" s="38" t="s">
        <v>46</v>
      </c>
      <c r="K551" s="39">
        <v>172</v>
      </c>
      <c r="L551" s="39">
        <f t="shared" si="265"/>
        <v>10320</v>
      </c>
      <c r="M551" s="40">
        <f>VLOOKUP(D551,[1]apoio_Preços_MGS!$A$6:$AN$238,18,FALSE)</f>
        <v>2357.0108214597344</v>
      </c>
      <c r="N551" s="40">
        <f>VLOOKUP(D551,[1]apoio_Preços_MGS!$A$6:$AN$238,19,FALSE)</f>
        <v>0</v>
      </c>
      <c r="O551" s="40">
        <f>VLOOKUP(D551,[1]apoio_Preços_MGS!$A$6:$AN$238,20,FALSE)</f>
        <v>549.08796365832757</v>
      </c>
      <c r="P551" s="40">
        <f>VLOOKUP(D551,[1]apoio_Preços_MGS!$A$6:$AN$238,21,FALSE)</f>
        <v>11.985747242951966</v>
      </c>
      <c r="Q551" s="40">
        <f>VLOOKUP(D551,[1]apoio_Preços_MGS!$A$6:$AN$238,22,FALSE)</f>
        <v>44.946538677104229</v>
      </c>
      <c r="R551" s="40">
        <f>VLOOKUP(D551,[1]apoio_Preços_MGS!$A$6:$AN$238,23,FALSE)</f>
        <v>252.53687372782872</v>
      </c>
      <c r="S551" s="40">
        <f>VLOOKUP(D551,[1]apoio_Preços_MGS!$A$6:$AN$238,24,FALSE)</f>
        <v>0</v>
      </c>
      <c r="T551" s="40">
        <f>VLOOKUP(D551,[1]apoio_Preços_MGS!$A$6:$AN$238,25,FALSE)</f>
        <v>3.2736261409162979</v>
      </c>
      <c r="U551" s="40">
        <f t="shared" si="273"/>
        <v>3218.8415709068636</v>
      </c>
      <c r="V551" s="41">
        <v>0.81799999999999995</v>
      </c>
      <c r="W551" s="40">
        <f t="shared" si="274"/>
        <v>2633.0124050018144</v>
      </c>
      <c r="X551" s="40">
        <f>VLOOKUP(D551,[1]apoio_Preços_MGS!$A$6:$AN$238,29,FALSE)</f>
        <v>52.672499999999992</v>
      </c>
      <c r="Y551" s="40">
        <f>VLOOKUP(D551,[1]apoio_Preços_MGS!$A$6:$AN$238,30,FALSE)</f>
        <v>1.721363914713578</v>
      </c>
      <c r="Z551" s="40">
        <f t="shared" si="266"/>
        <v>54.39386391471357</v>
      </c>
      <c r="AA551" s="40">
        <f>VLOOKUP(D551,[1]apoio_Preços_MGS!$A$6:$AN$238,32,FALSE)</f>
        <v>4.5254607772026896</v>
      </c>
      <c r="AB551" s="40">
        <f>VLOOKUP(D551,[1]apoio_Preços_MGS!$A$6:$AN$238,33,FALSE)</f>
        <v>114.60128756822279</v>
      </c>
      <c r="AC551" s="41">
        <f>VLOOKUP(D551,[1]apoio_Preços_MGS!$A$6:$AN$238,34,FALSE)</f>
        <v>4.314396214862351E-2</v>
      </c>
      <c r="AD551" s="40">
        <f>(U551+W551+Z551+AB551+AA551+VLOOKUP(C551,[1]apoio_Prec_Folha!$A:$S,7,FALSE))*AC551</f>
        <v>283.55508691576466</v>
      </c>
      <c r="AE551" s="42">
        <f>VLOOKUP(D551,[1]apoio_Preços_MGS!$A$6:$AN$238,36,FALSE)</f>
        <v>7.0000000000000007E-2</v>
      </c>
      <c r="AF551" s="40">
        <f>(U551+W551+Z551+AB551+AD551+AA551+VLOOKUP(C551,[1]apoio_Prec_Folha!$A:$S,7,FALSE))*AE551</f>
        <v>479.90989581262085</v>
      </c>
      <c r="AG551" s="40">
        <f t="shared" si="267"/>
        <v>6788.83</v>
      </c>
      <c r="AH551" s="43">
        <f t="shared" si="268"/>
        <v>7736.55</v>
      </c>
      <c r="AI551" s="43">
        <f t="shared" si="269"/>
        <v>1330686.6000000001</v>
      </c>
      <c r="AJ551" s="43">
        <f t="shared" si="270"/>
        <v>79841196</v>
      </c>
      <c r="AK551" s="44">
        <f>VLOOKUP(D551,[1]apoio_Preços_MGS!$A$6:$AN$238,39,FALSE)</f>
        <v>200.00000000000003</v>
      </c>
      <c r="AL551" s="44">
        <f>IF(J551="demais municípios",VLOOKUP(D551,[1]apoio_Preços_MGS!$A$6:$AN$238,39,FALSE),0)</f>
        <v>200.00000000000003</v>
      </c>
      <c r="AM551" s="44">
        <v>0</v>
      </c>
      <c r="AN551" s="45">
        <f t="shared" si="291"/>
        <v>34400.000000000007</v>
      </c>
      <c r="AO551" s="44">
        <f>VLOOKUP(D551,[1]apoio_Preços_MGS!$A$6:$AN$238,40,FALSE)</f>
        <v>546.91999999999996</v>
      </c>
      <c r="AP551" s="44">
        <f>IF(J551="demais municípios",VLOOKUP(D551,[1]apoio_Preços_MGS!$A$6:$AN$238,40,FALSE),0)</f>
        <v>546.91999999999996</v>
      </c>
      <c r="AQ551" s="44">
        <v>0</v>
      </c>
      <c r="AR551" s="45">
        <f t="shared" si="292"/>
        <v>94070.239999999991</v>
      </c>
      <c r="AS551" s="45">
        <f t="shared" si="277"/>
        <v>128470.23999999999</v>
      </c>
      <c r="AT551" s="45">
        <f t="shared" si="280"/>
        <v>7708214.3999999994</v>
      </c>
      <c r="AU551" s="62"/>
      <c r="AV551" s="46"/>
      <c r="AW551" s="47"/>
      <c r="AX551" s="48"/>
      <c r="AY551" s="49"/>
      <c r="BA551" s="48"/>
    </row>
    <row r="552" spans="1:53" ht="19.5" customHeight="1" x14ac:dyDescent="0.25">
      <c r="A552" s="33" t="str">
        <f t="shared" si="278"/>
        <v>105678440,038</v>
      </c>
      <c r="B552" s="33" t="str">
        <f t="shared" si="279"/>
        <v>11880,038</v>
      </c>
      <c r="C552" s="34" t="str">
        <f>VLOOKUP(D552,[1]apoio_Preços_MGS!$A$6:$B$238,2,FALSE)</f>
        <v>PORTEIRO</v>
      </c>
      <c r="D552" s="35">
        <v>1188</v>
      </c>
      <c r="E552" s="33" t="str">
        <f>VLOOKUP(D552,[1]apoio_Preços_MGS!$A$6:$F$238,6,FALSE)</f>
        <v>PORTEIRO (SUBS. ABSENT.) - 12x36 NOTURNO - 44H</v>
      </c>
      <c r="F552" s="36">
        <f>IFERROR(VLOOKUP(D552,'[1]apoio_cód catmas'!$B$2:$C$863,2,FALSE),0)</f>
        <v>105678</v>
      </c>
      <c r="G552" s="33" t="str">
        <f>IF(H552="N/A",VLOOKUP(F552&amp;40,'[1]apoio_cód catmas'!$A$1:$G$233,4,FALSE),VLOOKUP(F552&amp;H552,'[1]apoio_cód catmas'!$A$1:$G$233,4,FALSE))</f>
        <v>PORTEIRO (COM SUBSTITUICAO) - 12X36 NOTURNO - 44H</v>
      </c>
      <c r="H552" s="36">
        <v>44</v>
      </c>
      <c r="I552" s="37">
        <v>3.7999999999999999E-2</v>
      </c>
      <c r="J552" s="38" t="s">
        <v>46</v>
      </c>
      <c r="K552" s="39">
        <v>12</v>
      </c>
      <c r="L552" s="39">
        <f t="shared" si="265"/>
        <v>720</v>
      </c>
      <c r="M552" s="40">
        <f>VLOOKUP(D552,[1]apoio_Preços_MGS!$A$6:$AN$238,18,FALSE)</f>
        <v>2357.0108214597344</v>
      </c>
      <c r="N552" s="40">
        <f>VLOOKUP(D552,[1]apoio_Preços_MGS!$A$6:$AN$238,19,FALSE)</f>
        <v>0</v>
      </c>
      <c r="O552" s="40">
        <f>VLOOKUP(D552,[1]apoio_Preços_MGS!$A$6:$AN$238,20,FALSE)</f>
        <v>549.08796365832757</v>
      </c>
      <c r="P552" s="40">
        <f>VLOOKUP(D552,[1]apoio_Preços_MGS!$A$6:$AN$238,21,FALSE)</f>
        <v>11.985747242951966</v>
      </c>
      <c r="Q552" s="40">
        <f>VLOOKUP(D552,[1]apoio_Preços_MGS!$A$6:$AN$238,22,FALSE)</f>
        <v>44.946538677104229</v>
      </c>
      <c r="R552" s="40">
        <f>VLOOKUP(D552,[1]apoio_Preços_MGS!$A$6:$AN$238,23,FALSE)</f>
        <v>252.53687372782872</v>
      </c>
      <c r="S552" s="40">
        <f>VLOOKUP(D552,[1]apoio_Preços_MGS!$A$6:$AN$238,24,FALSE)</f>
        <v>0</v>
      </c>
      <c r="T552" s="40">
        <f>VLOOKUP(D552,[1]apoio_Preços_MGS!$A$6:$AN$238,25,FALSE)</f>
        <v>3.2736261409162979</v>
      </c>
      <c r="U552" s="40">
        <f t="shared" si="273"/>
        <v>3218.8415709068636</v>
      </c>
      <c r="V552" s="41">
        <v>0.81799999999999995</v>
      </c>
      <c r="W552" s="40">
        <f t="shared" si="274"/>
        <v>2633.0124050018144</v>
      </c>
      <c r="X552" s="40">
        <f>VLOOKUP(D552,[1]apoio_Preços_MGS!$A$6:$AN$238,29,FALSE)</f>
        <v>52.672499999999992</v>
      </c>
      <c r="Y552" s="40">
        <f>VLOOKUP(D552,[1]apoio_Preços_MGS!$A$6:$AN$238,30,FALSE)</f>
        <v>1.721363914713578</v>
      </c>
      <c r="Z552" s="40">
        <f t="shared" si="266"/>
        <v>54.39386391471357</v>
      </c>
      <c r="AA552" s="40">
        <f>VLOOKUP(D552,[1]apoio_Preços_MGS!$A$6:$AN$238,32,FALSE)</f>
        <v>4.5254607772026896</v>
      </c>
      <c r="AB552" s="40">
        <f>VLOOKUP(D552,[1]apoio_Preços_MGS!$A$6:$AN$238,33,FALSE)</f>
        <v>114.60128756822279</v>
      </c>
      <c r="AC552" s="41">
        <f>VLOOKUP(D552,[1]apoio_Preços_MGS!$A$6:$AN$238,34,FALSE)</f>
        <v>4.314396214862351E-2</v>
      </c>
      <c r="AD552" s="40">
        <f>(U552+W552+Z552+AB552+AA552+VLOOKUP(C552,[1]apoio_Prec_Folha!$A:$S,7,FALSE))*AC552</f>
        <v>283.55508691576466</v>
      </c>
      <c r="AE552" s="42">
        <f>VLOOKUP(D552,[1]apoio_Preços_MGS!$A$6:$AN$238,36,FALSE)</f>
        <v>7.0000000000000007E-2</v>
      </c>
      <c r="AF552" s="40">
        <f>(U552+W552+Z552+AB552+AD552+AA552+VLOOKUP(C552,[1]apoio_Prec_Folha!$A:$S,7,FALSE))*AE552</f>
        <v>479.90989581262085</v>
      </c>
      <c r="AG552" s="40">
        <f t="shared" si="267"/>
        <v>6788.83</v>
      </c>
      <c r="AH552" s="43">
        <f t="shared" si="268"/>
        <v>7807.76</v>
      </c>
      <c r="AI552" s="43">
        <f t="shared" si="269"/>
        <v>93693.119999999995</v>
      </c>
      <c r="AJ552" s="43">
        <f t="shared" si="270"/>
        <v>5621587.2000000002</v>
      </c>
      <c r="AK552" s="44">
        <f>VLOOKUP(D552,[1]apoio_Preços_MGS!$A$6:$AN$238,39,FALSE)</f>
        <v>200.00000000000003</v>
      </c>
      <c r="AL552" s="44">
        <f>IF(J552="demais municípios",VLOOKUP(D552,[1]apoio_Preços_MGS!$A$6:$AN$238,39,FALSE),0)</f>
        <v>200.00000000000003</v>
      </c>
      <c r="AM552" s="44">
        <v>0</v>
      </c>
      <c r="AN552" s="45">
        <f t="shared" si="291"/>
        <v>2400.0000000000005</v>
      </c>
      <c r="AO552" s="44">
        <f>VLOOKUP(D552,[1]apoio_Preços_MGS!$A$6:$AN$238,40,FALSE)</f>
        <v>546.91999999999996</v>
      </c>
      <c r="AP552" s="44">
        <f>IF(J552="demais municípios",VLOOKUP(D552,[1]apoio_Preços_MGS!$A$6:$AN$238,40,FALSE),0)</f>
        <v>546.91999999999996</v>
      </c>
      <c r="AQ552" s="44">
        <v>0</v>
      </c>
      <c r="AR552" s="45">
        <f t="shared" si="292"/>
        <v>6563.0399999999991</v>
      </c>
      <c r="AS552" s="45">
        <f t="shared" si="277"/>
        <v>8963.0399999999991</v>
      </c>
      <c r="AT552" s="45">
        <f t="shared" si="280"/>
        <v>537782.39999999991</v>
      </c>
      <c r="AU552" s="62"/>
      <c r="AV552" s="46"/>
      <c r="AW552" s="47"/>
      <c r="AX552" s="48"/>
      <c r="AY552" s="49"/>
      <c r="BA552" s="48"/>
    </row>
    <row r="553" spans="1:53" ht="19.5" customHeight="1" x14ac:dyDescent="0.25">
      <c r="A553" s="33" t="str">
        <f t="shared" si="278"/>
        <v>105678440,04</v>
      </c>
      <c r="B553" s="33" t="str">
        <f t="shared" si="279"/>
        <v>11880,04</v>
      </c>
      <c r="C553" s="34" t="str">
        <f>VLOOKUP(D553,[1]apoio_Preços_MGS!$A$6:$B$238,2,FALSE)</f>
        <v>PORTEIRO</v>
      </c>
      <c r="D553" s="35">
        <v>1188</v>
      </c>
      <c r="E553" s="33" t="str">
        <f>VLOOKUP(D553,[1]apoio_Preços_MGS!$A$6:$F$238,6,FALSE)</f>
        <v>PORTEIRO (SUBS. ABSENT.) - 12x36 NOTURNO - 44H</v>
      </c>
      <c r="F553" s="36">
        <f>IFERROR(VLOOKUP(D553,'[1]apoio_cód catmas'!$B$2:$C$863,2,FALSE),0)</f>
        <v>105678</v>
      </c>
      <c r="G553" s="33" t="str">
        <f>IF(H553="N/A",VLOOKUP(F553&amp;40,'[1]apoio_cód catmas'!$A$1:$G$233,4,FALSE),VLOOKUP(F553&amp;H553,'[1]apoio_cód catmas'!$A$1:$G$233,4,FALSE))</f>
        <v>PORTEIRO (COM SUBSTITUICAO) - 12X36 NOTURNO - 44H</v>
      </c>
      <c r="H553" s="36">
        <v>44</v>
      </c>
      <c r="I553" s="37">
        <v>0.04</v>
      </c>
      <c r="J553" s="38" t="s">
        <v>46</v>
      </c>
      <c r="K553" s="39">
        <v>20</v>
      </c>
      <c r="L553" s="39">
        <f t="shared" si="265"/>
        <v>1200</v>
      </c>
      <c r="M553" s="40">
        <f>VLOOKUP(D553,[1]apoio_Preços_MGS!$A$6:$AN$238,18,FALSE)</f>
        <v>2357.0108214597344</v>
      </c>
      <c r="N553" s="40">
        <f>VLOOKUP(D553,[1]apoio_Preços_MGS!$A$6:$AN$238,19,FALSE)</f>
        <v>0</v>
      </c>
      <c r="O553" s="40">
        <f>VLOOKUP(D553,[1]apoio_Preços_MGS!$A$6:$AN$238,20,FALSE)</f>
        <v>549.08796365832757</v>
      </c>
      <c r="P553" s="40">
        <f>VLOOKUP(D553,[1]apoio_Preços_MGS!$A$6:$AN$238,21,FALSE)</f>
        <v>11.985747242951966</v>
      </c>
      <c r="Q553" s="40">
        <f>VLOOKUP(D553,[1]apoio_Preços_MGS!$A$6:$AN$238,22,FALSE)</f>
        <v>44.946538677104229</v>
      </c>
      <c r="R553" s="40">
        <f>VLOOKUP(D553,[1]apoio_Preços_MGS!$A$6:$AN$238,23,FALSE)</f>
        <v>252.53687372782872</v>
      </c>
      <c r="S553" s="40">
        <f>VLOOKUP(D553,[1]apoio_Preços_MGS!$A$6:$AN$238,24,FALSE)</f>
        <v>0</v>
      </c>
      <c r="T553" s="40">
        <f>VLOOKUP(D553,[1]apoio_Preços_MGS!$A$6:$AN$238,25,FALSE)</f>
        <v>3.2736261409162979</v>
      </c>
      <c r="U553" s="40">
        <f t="shared" si="273"/>
        <v>3218.8415709068636</v>
      </c>
      <c r="V553" s="41">
        <v>0.81799999999999995</v>
      </c>
      <c r="W553" s="40">
        <f t="shared" si="274"/>
        <v>2633.0124050018144</v>
      </c>
      <c r="X553" s="40">
        <f>VLOOKUP(D553,[1]apoio_Preços_MGS!$A$6:$AN$238,29,FALSE)</f>
        <v>52.672499999999992</v>
      </c>
      <c r="Y553" s="40">
        <f>VLOOKUP(D553,[1]apoio_Preços_MGS!$A$6:$AN$238,30,FALSE)</f>
        <v>1.721363914713578</v>
      </c>
      <c r="Z553" s="40">
        <f t="shared" si="266"/>
        <v>54.39386391471357</v>
      </c>
      <c r="AA553" s="40">
        <f>VLOOKUP(D553,[1]apoio_Preços_MGS!$A$6:$AN$238,32,FALSE)</f>
        <v>4.5254607772026896</v>
      </c>
      <c r="AB553" s="40">
        <f>VLOOKUP(D553,[1]apoio_Preços_MGS!$A$6:$AN$238,33,FALSE)</f>
        <v>114.60128756822279</v>
      </c>
      <c r="AC553" s="41">
        <f>VLOOKUP(D553,[1]apoio_Preços_MGS!$A$6:$AN$238,34,FALSE)</f>
        <v>4.314396214862351E-2</v>
      </c>
      <c r="AD553" s="40">
        <f>(U553+W553+Z553+AB553+AA553+VLOOKUP(C553,[1]apoio_Prec_Folha!$A:$S,7,FALSE))*AC553</f>
        <v>283.55508691576466</v>
      </c>
      <c r="AE553" s="42">
        <f>VLOOKUP(D553,[1]apoio_Preços_MGS!$A$6:$AN$238,36,FALSE)</f>
        <v>7.0000000000000007E-2</v>
      </c>
      <c r="AF553" s="40">
        <f>(U553+W553+Z553+AB553+AD553+AA553+VLOOKUP(C553,[1]apoio_Prec_Folha!$A:$S,7,FALSE))*AE553</f>
        <v>479.90989581262085</v>
      </c>
      <c r="AG553" s="40">
        <f t="shared" si="267"/>
        <v>6788.83</v>
      </c>
      <c r="AH553" s="43">
        <f t="shared" si="268"/>
        <v>7825.75</v>
      </c>
      <c r="AI553" s="43">
        <f t="shared" si="269"/>
        <v>156515</v>
      </c>
      <c r="AJ553" s="43">
        <f t="shared" si="270"/>
        <v>9390900</v>
      </c>
      <c r="AK553" s="44">
        <f>VLOOKUP(D553,[1]apoio_Preços_MGS!$A$6:$AN$238,39,FALSE)</f>
        <v>200.00000000000003</v>
      </c>
      <c r="AL553" s="44">
        <f>IF(J553="demais municípios",VLOOKUP(D553,[1]apoio_Preços_MGS!$A$6:$AN$238,39,FALSE),0)</f>
        <v>200.00000000000003</v>
      </c>
      <c r="AM553" s="44">
        <v>0</v>
      </c>
      <c r="AN553" s="45">
        <f t="shared" si="291"/>
        <v>4000.0000000000005</v>
      </c>
      <c r="AO553" s="44">
        <f>VLOOKUP(D553,[1]apoio_Preços_MGS!$A$6:$AN$238,40,FALSE)</f>
        <v>546.91999999999996</v>
      </c>
      <c r="AP553" s="44">
        <f>IF(J553="demais municípios",VLOOKUP(D553,[1]apoio_Preços_MGS!$A$6:$AN$238,40,FALSE),0)</f>
        <v>546.91999999999996</v>
      </c>
      <c r="AQ553" s="44">
        <v>0</v>
      </c>
      <c r="AR553" s="45">
        <f t="shared" si="292"/>
        <v>10938.4</v>
      </c>
      <c r="AS553" s="45">
        <f t="shared" si="277"/>
        <v>14938.4</v>
      </c>
      <c r="AT553" s="45">
        <f t="shared" si="280"/>
        <v>896304</v>
      </c>
      <c r="AU553" s="62"/>
      <c r="AV553" s="46"/>
      <c r="AW553" s="47"/>
      <c r="AX553" s="48"/>
      <c r="AY553" s="49"/>
      <c r="BA553" s="48"/>
    </row>
    <row r="554" spans="1:53" ht="19.5" customHeight="1" x14ac:dyDescent="0.25">
      <c r="A554" s="33" t="str">
        <f t="shared" si="278"/>
        <v>105678440,05</v>
      </c>
      <c r="B554" s="33" t="str">
        <f t="shared" si="279"/>
        <v>11880,05</v>
      </c>
      <c r="C554" s="34" t="str">
        <f>VLOOKUP(D554,[1]apoio_Preços_MGS!$A$6:$B$238,2,FALSE)</f>
        <v>PORTEIRO</v>
      </c>
      <c r="D554" s="35">
        <v>1188</v>
      </c>
      <c r="E554" s="33" t="str">
        <f>VLOOKUP(D554,[1]apoio_Preços_MGS!$A$6:$F$238,6,FALSE)</f>
        <v>PORTEIRO (SUBS. ABSENT.) - 12x36 NOTURNO - 44H</v>
      </c>
      <c r="F554" s="36">
        <f>IFERROR(VLOOKUP(D554,'[1]apoio_cód catmas'!$B$2:$C$863,2,FALSE),0)</f>
        <v>105678</v>
      </c>
      <c r="G554" s="33" t="str">
        <f>IF(H554="N/A",VLOOKUP(F554&amp;40,'[1]apoio_cód catmas'!$A$1:$G$233,4,FALSE),VLOOKUP(F554&amp;H554,'[1]apoio_cód catmas'!$A$1:$G$233,4,FALSE))</f>
        <v>PORTEIRO (COM SUBSTITUICAO) - 12X36 NOTURNO - 44H</v>
      </c>
      <c r="H554" s="36">
        <v>44</v>
      </c>
      <c r="I554" s="37">
        <v>0.05</v>
      </c>
      <c r="J554" s="38" t="s">
        <v>46</v>
      </c>
      <c r="K554" s="39">
        <f>570-K555</f>
        <v>42</v>
      </c>
      <c r="L554" s="39">
        <f t="shared" si="265"/>
        <v>2520</v>
      </c>
      <c r="M554" s="40">
        <f>VLOOKUP(D554,[1]apoio_Preços_MGS!$A$6:$AN$238,18,FALSE)</f>
        <v>2357.0108214597344</v>
      </c>
      <c r="N554" s="40">
        <f>VLOOKUP(D554,[1]apoio_Preços_MGS!$A$6:$AN$238,19,FALSE)</f>
        <v>0</v>
      </c>
      <c r="O554" s="40">
        <f>VLOOKUP(D554,[1]apoio_Preços_MGS!$A$6:$AN$238,20,FALSE)</f>
        <v>549.08796365832757</v>
      </c>
      <c r="P554" s="40">
        <f>VLOOKUP(D554,[1]apoio_Preços_MGS!$A$6:$AN$238,21,FALSE)</f>
        <v>11.985747242951966</v>
      </c>
      <c r="Q554" s="40">
        <f>VLOOKUP(D554,[1]apoio_Preços_MGS!$A$6:$AN$238,22,FALSE)</f>
        <v>44.946538677104229</v>
      </c>
      <c r="R554" s="40">
        <f>VLOOKUP(D554,[1]apoio_Preços_MGS!$A$6:$AN$238,23,FALSE)</f>
        <v>252.53687372782872</v>
      </c>
      <c r="S554" s="40">
        <f>VLOOKUP(D554,[1]apoio_Preços_MGS!$A$6:$AN$238,24,FALSE)</f>
        <v>0</v>
      </c>
      <c r="T554" s="40">
        <f>VLOOKUP(D554,[1]apoio_Preços_MGS!$A$6:$AN$238,25,FALSE)</f>
        <v>3.2736261409162979</v>
      </c>
      <c r="U554" s="40">
        <f t="shared" si="273"/>
        <v>3218.8415709068636</v>
      </c>
      <c r="V554" s="41">
        <v>0.81799999999999995</v>
      </c>
      <c r="W554" s="40">
        <f t="shared" si="274"/>
        <v>2633.0124050018144</v>
      </c>
      <c r="X554" s="40">
        <f>VLOOKUP(D554,[1]apoio_Preços_MGS!$A$6:$AN$238,29,FALSE)</f>
        <v>52.672499999999992</v>
      </c>
      <c r="Y554" s="40">
        <f>VLOOKUP(D554,[1]apoio_Preços_MGS!$A$6:$AN$238,30,FALSE)</f>
        <v>1.721363914713578</v>
      </c>
      <c r="Z554" s="40">
        <f t="shared" si="266"/>
        <v>54.39386391471357</v>
      </c>
      <c r="AA554" s="40">
        <f>VLOOKUP(D554,[1]apoio_Preços_MGS!$A$6:$AN$238,32,FALSE)</f>
        <v>4.5254607772026896</v>
      </c>
      <c r="AB554" s="40">
        <f>VLOOKUP(D554,[1]apoio_Preços_MGS!$A$6:$AN$238,33,FALSE)</f>
        <v>114.60128756822279</v>
      </c>
      <c r="AC554" s="41">
        <f>VLOOKUP(D554,[1]apoio_Preços_MGS!$A$6:$AN$238,34,FALSE)</f>
        <v>4.314396214862351E-2</v>
      </c>
      <c r="AD554" s="40">
        <f>(U554+W554+Z554+AB554+AA554+VLOOKUP(C554,[1]apoio_Prec_Folha!$A:$S,7,FALSE))*AC554</f>
        <v>283.55508691576466</v>
      </c>
      <c r="AE554" s="42">
        <f>VLOOKUP(D554,[1]apoio_Preços_MGS!$A$6:$AN$238,36,FALSE)</f>
        <v>7.0000000000000007E-2</v>
      </c>
      <c r="AF554" s="40">
        <f>(U554+W554+Z554+AB554+AD554+AA554+VLOOKUP(C554,[1]apoio_Prec_Folha!$A:$S,7,FALSE))*AE554</f>
        <v>479.90989581262085</v>
      </c>
      <c r="AG554" s="40">
        <f t="shared" si="267"/>
        <v>6788.83</v>
      </c>
      <c r="AH554" s="43">
        <f t="shared" si="268"/>
        <v>7916.99</v>
      </c>
      <c r="AI554" s="43">
        <f t="shared" si="269"/>
        <v>332513.58</v>
      </c>
      <c r="AJ554" s="43">
        <f t="shared" si="270"/>
        <v>19950814.800000001</v>
      </c>
      <c r="AK554" s="44">
        <f>VLOOKUP(D554,[1]apoio_Preços_MGS!$A$6:$AN$238,39,FALSE)</f>
        <v>200.00000000000003</v>
      </c>
      <c r="AL554" s="44">
        <f>IF(J554="demais municípios",VLOOKUP(D554,[1]apoio_Preços_MGS!$A$6:$AN$238,39,FALSE),0)</f>
        <v>200.00000000000003</v>
      </c>
      <c r="AM554" s="44">
        <v>0</v>
      </c>
      <c r="AN554" s="45">
        <f t="shared" si="291"/>
        <v>8400.0000000000018</v>
      </c>
      <c r="AO554" s="44">
        <f>VLOOKUP(D554,[1]apoio_Preços_MGS!$A$6:$AN$238,40,FALSE)</f>
        <v>546.91999999999996</v>
      </c>
      <c r="AP554" s="44">
        <f>IF(J554="demais municípios",VLOOKUP(D554,[1]apoio_Preços_MGS!$A$6:$AN$238,40,FALSE),0)</f>
        <v>546.91999999999996</v>
      </c>
      <c r="AQ554" s="44">
        <v>0</v>
      </c>
      <c r="AR554" s="45">
        <f t="shared" si="292"/>
        <v>22970.639999999999</v>
      </c>
      <c r="AS554" s="45">
        <f t="shared" si="277"/>
        <v>31370.639999999999</v>
      </c>
      <c r="AT554" s="45">
        <f t="shared" si="280"/>
        <v>1882238.4</v>
      </c>
      <c r="AU554" s="62"/>
      <c r="AV554" s="46"/>
      <c r="AW554" s="47"/>
      <c r="AX554" s="48"/>
      <c r="AY554" s="49"/>
      <c r="BA554" s="48"/>
    </row>
    <row r="555" spans="1:53" ht="19.5" customHeight="1" x14ac:dyDescent="0.25">
      <c r="A555" s="33" t="str">
        <f t="shared" si="278"/>
        <v>105678440,05</v>
      </c>
      <c r="B555" s="33" t="str">
        <f t="shared" si="279"/>
        <v>11880,05</v>
      </c>
      <c r="C555" s="34" t="str">
        <f>VLOOKUP(D555,[1]apoio_Preços_MGS!$A$6:$B$238,2,FALSE)</f>
        <v>PORTEIRO</v>
      </c>
      <c r="D555" s="35">
        <v>1188</v>
      </c>
      <c r="E555" s="33" t="str">
        <f>VLOOKUP(D555,[1]apoio_Preços_MGS!$A$6:$F$238,6,FALSE)</f>
        <v>PORTEIRO (SUBS. ABSENT.) - 12x36 NOTURNO - 44H</v>
      </c>
      <c r="F555" s="36">
        <f>IFERROR(VLOOKUP(D555,'[1]apoio_cód catmas'!$B$2:$C$863,2,FALSE),0)</f>
        <v>105678</v>
      </c>
      <c r="G555" s="33" t="str">
        <f>IF(H555="N/A",VLOOKUP(F555&amp;40,'[1]apoio_cód catmas'!$A$1:$G$233,4,FALSE),VLOOKUP(F555&amp;H555,'[1]apoio_cód catmas'!$A$1:$G$233,4,FALSE))</f>
        <v>PORTEIRO (COM SUBSTITUICAO) - 12X36 NOTURNO - 44H</v>
      </c>
      <c r="H555" s="36">
        <v>44</v>
      </c>
      <c r="I555" s="37">
        <v>0.05</v>
      </c>
      <c r="J555" s="38" t="s">
        <v>47</v>
      </c>
      <c r="K555" s="39">
        <v>528</v>
      </c>
      <c r="L555" s="39">
        <f t="shared" si="265"/>
        <v>31680</v>
      </c>
      <c r="M555" s="40">
        <f>VLOOKUP(D555,[1]apoio_Preços_MGS!$A$6:$AN$238,18,FALSE)</f>
        <v>2357.0108214597344</v>
      </c>
      <c r="N555" s="40">
        <f>VLOOKUP(D555,[1]apoio_Preços_MGS!$A$6:$AN$238,19,FALSE)</f>
        <v>0</v>
      </c>
      <c r="O555" s="40">
        <f>VLOOKUP(D555,[1]apoio_Preços_MGS!$A$6:$AN$238,20,FALSE)</f>
        <v>549.08796365832757</v>
      </c>
      <c r="P555" s="40">
        <f>VLOOKUP(D555,[1]apoio_Preços_MGS!$A$6:$AN$238,21,FALSE)</f>
        <v>11.985747242951966</v>
      </c>
      <c r="Q555" s="40">
        <f>VLOOKUP(D555,[1]apoio_Preços_MGS!$A$6:$AN$238,22,FALSE)</f>
        <v>44.946538677104229</v>
      </c>
      <c r="R555" s="40">
        <f>VLOOKUP(D555,[1]apoio_Preços_MGS!$A$6:$AN$238,23,FALSE)</f>
        <v>252.53687372782872</v>
      </c>
      <c r="S555" s="40">
        <f>VLOOKUP(D555,[1]apoio_Preços_MGS!$A$6:$AN$238,24,FALSE)</f>
        <v>0</v>
      </c>
      <c r="T555" s="40">
        <f>VLOOKUP(D555,[1]apoio_Preços_MGS!$A$6:$AN$238,25,FALSE)</f>
        <v>3.2736261409162979</v>
      </c>
      <c r="U555" s="40">
        <f t="shared" si="273"/>
        <v>3218.8415709068636</v>
      </c>
      <c r="V555" s="41">
        <v>0.81799999999999995</v>
      </c>
      <c r="W555" s="40">
        <f t="shared" si="274"/>
        <v>2633.0124050018144</v>
      </c>
      <c r="X555" s="40">
        <f>VLOOKUP(D555,[1]apoio_Preços_MGS!$A$6:$AN$238,29,FALSE)</f>
        <v>52.672499999999992</v>
      </c>
      <c r="Y555" s="40">
        <f>VLOOKUP(D555,[1]apoio_Preços_MGS!$A$6:$AN$238,30,FALSE)</f>
        <v>1.721363914713578</v>
      </c>
      <c r="Z555" s="40">
        <f t="shared" si="266"/>
        <v>54.39386391471357</v>
      </c>
      <c r="AA555" s="40">
        <f>VLOOKUP(D555,[1]apoio_Preços_MGS!$A$6:$AN$238,32,FALSE)</f>
        <v>4.5254607772026896</v>
      </c>
      <c r="AB555" s="40">
        <f>VLOOKUP(D555,[1]apoio_Preços_MGS!$A$6:$AN$238,33,FALSE)</f>
        <v>114.60128756822279</v>
      </c>
      <c r="AC555" s="41">
        <f>VLOOKUP(D555,[1]apoio_Preços_MGS!$A$6:$AN$238,34,FALSE)</f>
        <v>4.314396214862351E-2</v>
      </c>
      <c r="AD555" s="40">
        <f>(U555+W555+Z555+AB555+AA555+VLOOKUP(C555,[1]apoio_Prec_Folha!$A:$S,7,FALSE))*AC555</f>
        <v>283.55508691576466</v>
      </c>
      <c r="AE555" s="42">
        <f>VLOOKUP(D555,[1]apoio_Preços_MGS!$A$6:$AN$238,36,FALSE)</f>
        <v>7.0000000000000007E-2</v>
      </c>
      <c r="AF555" s="40">
        <f>(U555+W555+Z555+AB555+AD555+AA555+VLOOKUP(C555,[1]apoio_Prec_Folha!$A:$S,7,FALSE))*AE555</f>
        <v>479.90989581262085</v>
      </c>
      <c r="AG555" s="40">
        <f t="shared" si="267"/>
        <v>6788.83</v>
      </c>
      <c r="AH555" s="43">
        <f t="shared" si="268"/>
        <v>7916.99</v>
      </c>
      <c r="AI555" s="43">
        <f t="shared" si="269"/>
        <v>4180170.7199999997</v>
      </c>
      <c r="AJ555" s="43">
        <f t="shared" si="270"/>
        <v>250810243.19999999</v>
      </c>
      <c r="AK555" s="44">
        <f>VLOOKUP(D555,[1]apoio_Preços_MGS!$A$6:$AN$238,39,FALSE)</f>
        <v>200.00000000000003</v>
      </c>
      <c r="AL555" s="44">
        <f>IF(J555="demais municípios",VLOOKUP(D555,[1]apoio_Preços_MGS!$A$6:$AN$238,39,FALSE),0)</f>
        <v>0</v>
      </c>
      <c r="AM555" s="44">
        <f>TRUNC(ROUND(($I555)/(1-($I555)),5)*VLOOKUP(D555,[1]apoio_Preços_MGS!$A$6:$AN$238,39,FALSE)+VLOOKUP(D555,[1]apoio_Preços_MGS!$A$6:$AN$238,39,FALSE),2)</f>
        <v>210.52</v>
      </c>
      <c r="AN555" s="45">
        <f t="shared" si="281"/>
        <v>111154.56000000001</v>
      </c>
      <c r="AO555" s="44">
        <f>VLOOKUP(D555,[1]apoio_Preços_MGS!$A$6:$AN$238,40,FALSE)</f>
        <v>546.91999999999996</v>
      </c>
      <c r="AP555" s="44">
        <f>IF(J555="demais municípios",VLOOKUP(D555,[1]apoio_Preços_MGS!$A$6:$AN$238,40,FALSE),0)</f>
        <v>0</v>
      </c>
      <c r="AQ555" s="44">
        <f>TRUNC(ROUND(($I555)/(1-($I555)),5)*VLOOKUP(D555,[1]apoio_Preços_MGS!$A$6:$AN$238,40,FALSE)+VLOOKUP(D555,[1]apoio_Preços_MGS!$A$6:$AN$238,40,FALSE),2)</f>
        <v>575.70000000000005</v>
      </c>
      <c r="AR555" s="45">
        <f t="shared" si="282"/>
        <v>303969.60000000003</v>
      </c>
      <c r="AS555" s="45">
        <f t="shared" si="277"/>
        <v>415124.16000000003</v>
      </c>
      <c r="AT555" s="45">
        <f t="shared" si="280"/>
        <v>24907449.600000001</v>
      </c>
      <c r="AU555" s="62"/>
      <c r="AV555" s="46"/>
      <c r="AW555" s="47"/>
      <c r="AX555" s="48"/>
      <c r="AY555" s="49"/>
      <c r="BA555" s="48"/>
    </row>
    <row r="556" spans="1:53" ht="19.5" customHeight="1" x14ac:dyDescent="0.25">
      <c r="A556" s="33" t="str">
        <f t="shared" si="278"/>
        <v>106364400,03</v>
      </c>
      <c r="B556" s="33" t="str">
        <f t="shared" si="279"/>
        <v>11890,03</v>
      </c>
      <c r="C556" s="34" t="str">
        <f>VLOOKUP(D556,[1]apoio_Preços_MGS!$A$6:$B$238,2,FALSE)</f>
        <v>PORTEIRO</v>
      </c>
      <c r="D556" s="35">
        <v>1189</v>
      </c>
      <c r="E556" s="33" t="str">
        <f>VLOOKUP(D556,[1]apoio_Preços_MGS!$A$6:$F$238,6,FALSE)</f>
        <v>PORTEIRO (SUBS. ABSENT.) (14H ÀS 23H) - 1H NOTURNA - 40H</v>
      </c>
      <c r="F556" s="36">
        <f>IFERROR(VLOOKUP(D556,'[1]apoio_cód catmas'!$B$2:$C$863,2,FALSE),0)</f>
        <v>106364</v>
      </c>
      <c r="G556" s="33" t="str">
        <f>IF(H556="N/A",VLOOKUP(F556&amp;40,'[1]apoio_cód catmas'!$A$1:$G$233,4,FALSE),VLOOKUP(F556&amp;H556,'[1]apoio_cód catmas'!$A$1:$G$233,4,FALSE))</f>
        <v>PORTEIRO (COM SUBSTITUICAO) - NOTURNO (14H AS 23H) - 40 HORAS</v>
      </c>
      <c r="H556" s="36">
        <v>40</v>
      </c>
      <c r="I556" s="37">
        <v>0.03</v>
      </c>
      <c r="J556" s="38" t="s">
        <v>46</v>
      </c>
      <c r="K556" s="39">
        <v>7</v>
      </c>
      <c r="L556" s="39">
        <f t="shared" si="265"/>
        <v>420</v>
      </c>
      <c r="M556" s="40">
        <f>VLOOKUP(D556,[1]apoio_Preços_MGS!$A$6:$AN$238,18,FALSE)</f>
        <v>2142.7371104179406</v>
      </c>
      <c r="N556" s="40">
        <f>VLOOKUP(D556,[1]apoio_Preços_MGS!$A$6:$AN$238,19,FALSE)</f>
        <v>0</v>
      </c>
      <c r="O556" s="40">
        <f>VLOOKUP(D556,[1]apoio_Preços_MGS!$A$6:$AN$238,20,FALSE)</f>
        <v>108.23021622700281</v>
      </c>
      <c r="P556" s="40">
        <f>VLOOKUP(D556,[1]apoio_Preços_MGS!$A$6:$AN$238,21,FALSE)</f>
        <v>0</v>
      </c>
      <c r="Q556" s="40">
        <f>VLOOKUP(D556,[1]apoio_Preços_MGS!$A$6:$AN$238,22,FALSE)</f>
        <v>8.8593703042912395</v>
      </c>
      <c r="R556" s="40">
        <f>VLOOKUP(D556,[1]apoio_Preços_MGS!$A$6:$AN$238,23,FALSE)</f>
        <v>0</v>
      </c>
      <c r="S556" s="40">
        <f>VLOOKUP(D556,[1]apoio_Preços_MGS!$A$6:$AN$238,24,FALSE)</f>
        <v>0</v>
      </c>
      <c r="T556" s="40">
        <f>VLOOKUP(D556,[1]apoio_Preços_MGS!$A$6:$AN$238,25,FALSE)</f>
        <v>0</v>
      </c>
      <c r="U556" s="40">
        <f t="shared" si="273"/>
        <v>2259.8266969492347</v>
      </c>
      <c r="V556" s="41">
        <v>0.81799999999999995</v>
      </c>
      <c r="W556" s="40">
        <f t="shared" si="274"/>
        <v>1848.538238104474</v>
      </c>
      <c r="X556" s="40">
        <f>VLOOKUP(D556,[1]apoio_Preços_MGS!$A$6:$AN$238,29,FALSE)</f>
        <v>52.672499999999992</v>
      </c>
      <c r="Y556" s="40">
        <f>VLOOKUP(D556,[1]apoio_Preços_MGS!$A$6:$AN$238,30,FALSE)</f>
        <v>1.721363914713578</v>
      </c>
      <c r="Z556" s="40">
        <f t="shared" si="266"/>
        <v>54.39386391471357</v>
      </c>
      <c r="AA556" s="40">
        <f>VLOOKUP(D556,[1]apoio_Preços_MGS!$A$6:$AN$238,32,FALSE)</f>
        <v>4.1140552520024452</v>
      </c>
      <c r="AB556" s="40">
        <f>VLOOKUP(D556,[1]apoio_Preços_MGS!$A$6:$AN$238,33,FALSE)</f>
        <v>121.58518892992969</v>
      </c>
      <c r="AC556" s="41">
        <f>VLOOKUP(D556,[1]apoio_Preços_MGS!$A$6:$AN$238,34,FALSE)</f>
        <v>4.314396214862351E-2</v>
      </c>
      <c r="AD556" s="40">
        <f>(U556+W556+Z556+AB556+AA556+VLOOKUP(C556,[1]apoio_Prec_Folha!$A:$S,7,FALSE))*AC556</f>
        <v>208.61762524217016</v>
      </c>
      <c r="AE556" s="42">
        <f>VLOOKUP(D556,[1]apoio_Preços_MGS!$A$6:$AN$238,36,FALSE)</f>
        <v>7.0000000000000007E-2</v>
      </c>
      <c r="AF556" s="40">
        <f>(U556+W556+Z556+AB556+AD556+AA556+VLOOKUP(C556,[1]apoio_Prec_Folha!$A:$S,7,FALSE))*AE556</f>
        <v>353.08011534417682</v>
      </c>
      <c r="AG556" s="40">
        <f t="shared" si="267"/>
        <v>4850.1499999999996</v>
      </c>
      <c r="AH556" s="43">
        <f t="shared" si="268"/>
        <v>5527.23</v>
      </c>
      <c r="AI556" s="43">
        <f t="shared" si="269"/>
        <v>38690.61</v>
      </c>
      <c r="AJ556" s="43">
        <f t="shared" si="270"/>
        <v>2321436.5999999996</v>
      </c>
      <c r="AK556" s="44">
        <f>VLOOKUP(D556,[1]apoio_Preços_MGS!$A$6:$AN$238,39,FALSE)</f>
        <v>181.81818181818184</v>
      </c>
      <c r="AL556" s="44">
        <f>IF(J556="demais municípios",VLOOKUP(D556,[1]apoio_Preços_MGS!$A$6:$AN$238,39,FALSE),0)</f>
        <v>181.81818181818184</v>
      </c>
      <c r="AM556" s="44">
        <v>0</v>
      </c>
      <c r="AN556" s="45">
        <f t="shared" ref="AN556:AN557" si="293">AK556*K556</f>
        <v>1272.727272727273</v>
      </c>
      <c r="AO556" s="44">
        <f>VLOOKUP(D556,[1]apoio_Preços_MGS!$A$6:$AN$238,40,FALSE)</f>
        <v>546.91999999999996</v>
      </c>
      <c r="AP556" s="44">
        <f>IF(J556="demais municípios",VLOOKUP(D556,[1]apoio_Preços_MGS!$A$6:$AN$238,40,FALSE),0)</f>
        <v>546.91999999999996</v>
      </c>
      <c r="AQ556" s="44">
        <v>0</v>
      </c>
      <c r="AR556" s="45">
        <f t="shared" ref="AR556:AR557" si="294">AO556*K556</f>
        <v>3828.4399999999996</v>
      </c>
      <c r="AS556" s="45">
        <f t="shared" si="277"/>
        <v>5101.1672727272726</v>
      </c>
      <c r="AT556" s="45">
        <f t="shared" si="280"/>
        <v>306070.03636363638</v>
      </c>
      <c r="AU556" s="62"/>
      <c r="AV556" s="46"/>
      <c r="AW556" s="47"/>
      <c r="AX556" s="48"/>
      <c r="AY556" s="49"/>
      <c r="BA556" s="48"/>
    </row>
    <row r="557" spans="1:53" ht="19.5" customHeight="1" x14ac:dyDescent="0.25">
      <c r="A557" s="33" t="str">
        <f t="shared" si="278"/>
        <v>105686360,04</v>
      </c>
      <c r="B557" s="33" t="str">
        <f t="shared" si="279"/>
        <v>11900,04</v>
      </c>
      <c r="C557" s="34" t="str">
        <f>VLOOKUP(D557,[1]apoio_Preços_MGS!$A$6:$B$238,2,FALSE)</f>
        <v>PORTEIRO</v>
      </c>
      <c r="D557" s="35">
        <v>1190</v>
      </c>
      <c r="E557" s="33" t="str">
        <f>VLOOKUP(D557,[1]apoio_Preços_MGS!$A$6:$F$238,6,FALSE)</f>
        <v>PORTEIRO (SUBS. ABSENT.) (18H ÀS 0H) - DIARISTA NOTURNO - 36H</v>
      </c>
      <c r="F557" s="36">
        <f>IFERROR(VLOOKUP(D557,'[1]apoio_cód catmas'!$B$2:$C$863,2,FALSE),0)</f>
        <v>105686</v>
      </c>
      <c r="G557" s="33" t="str">
        <f>IF(H557="N/A",VLOOKUP(F557&amp;40,'[1]apoio_cód catmas'!$A$1:$G$233,4,FALSE),VLOOKUP(F557&amp;H557,'[1]apoio_cód catmas'!$A$1:$G$233,4,FALSE))</f>
        <v>PORTEIRO NOTURNO (COM SUBSTITUICAO) - (18H AS OH)  - 36H</v>
      </c>
      <c r="H557" s="36">
        <v>36</v>
      </c>
      <c r="I557" s="37">
        <v>0.04</v>
      </c>
      <c r="J557" s="38" t="s">
        <v>46</v>
      </c>
      <c r="K557" s="39">
        <v>4</v>
      </c>
      <c r="L557" s="39">
        <f t="shared" si="265"/>
        <v>240</v>
      </c>
      <c r="M557" s="40">
        <f>VLOOKUP(D557,[1]apoio_Preços_MGS!$A$6:$AN$238,18,FALSE)</f>
        <v>1928.4633993761463</v>
      </c>
      <c r="N557" s="40">
        <f>VLOOKUP(D557,[1]apoio_Preços_MGS!$A$6:$AN$238,19,FALSE)</f>
        <v>0</v>
      </c>
      <c r="O557" s="40">
        <f>VLOOKUP(D557,[1]apoio_Preços_MGS!$A$6:$AN$238,20,FALSE)</f>
        <v>255.81687471837017</v>
      </c>
      <c r="P557" s="40">
        <f>VLOOKUP(D557,[1]apoio_Preços_MGS!$A$6:$AN$238,21,FALSE)</f>
        <v>0</v>
      </c>
      <c r="Q557" s="40">
        <f>VLOOKUP(D557,[1]apoio_Preços_MGS!$A$6:$AN$238,22,FALSE)</f>
        <v>20.940329810142927</v>
      </c>
      <c r="R557" s="40">
        <f>VLOOKUP(D557,[1]apoio_Preços_MGS!$A$6:$AN$238,23,FALSE)</f>
        <v>0</v>
      </c>
      <c r="S557" s="40">
        <f>VLOOKUP(D557,[1]apoio_Preços_MGS!$A$6:$AN$238,24,FALSE)</f>
        <v>0</v>
      </c>
      <c r="T557" s="40">
        <f>VLOOKUP(D557,[1]apoio_Preços_MGS!$A$6:$AN$238,25,FALSE)</f>
        <v>0</v>
      </c>
      <c r="U557" s="40">
        <f t="shared" si="273"/>
        <v>2205.2206039046591</v>
      </c>
      <c r="V557" s="41">
        <v>0.81799999999999995</v>
      </c>
      <c r="W557" s="40">
        <f t="shared" si="274"/>
        <v>1803.8704539940111</v>
      </c>
      <c r="X557" s="40">
        <f>VLOOKUP(D557,[1]apoio_Preços_MGS!$A$6:$AN$238,29,FALSE)</f>
        <v>52.672499999999992</v>
      </c>
      <c r="Y557" s="40">
        <f>VLOOKUP(D557,[1]apoio_Preços_MGS!$A$6:$AN$238,30,FALSE)</f>
        <v>1.721363914713578</v>
      </c>
      <c r="Z557" s="40">
        <f t="shared" si="266"/>
        <v>54.39386391471357</v>
      </c>
      <c r="AA557" s="40">
        <f>VLOOKUP(D557,[1]apoio_Preços_MGS!$A$6:$AN$238,32,FALSE)</f>
        <v>3.7026497268022007</v>
      </c>
      <c r="AB557" s="40">
        <f>VLOOKUP(D557,[1]apoio_Preços_MGS!$A$6:$AN$238,33,FALSE)</f>
        <v>128.56909029163657</v>
      </c>
      <c r="AC557" s="41">
        <f>VLOOKUP(D557,[1]apoio_Preços_MGS!$A$6:$AN$238,34,FALSE)</f>
        <v>4.314396214862351E-2</v>
      </c>
      <c r="AD557" s="40">
        <f>(U557+W557+Z557+AB557+AA557+VLOOKUP(C557,[1]apoio_Prec_Folha!$A:$S,7,FALSE))*AC557</f>
        <v>204.61812035543832</v>
      </c>
      <c r="AE557" s="42">
        <f>VLOOKUP(D557,[1]apoio_Preços_MGS!$A$6:$AN$238,36,FALSE)</f>
        <v>7.0000000000000007E-2</v>
      </c>
      <c r="AF557" s="40">
        <f>(U557+W557+Z557+AB557+AD557+AA557+VLOOKUP(C557,[1]apoio_Prec_Folha!$A:$S,7,FALSE))*AE557</f>
        <v>346.31105330980836</v>
      </c>
      <c r="AG557" s="40">
        <f t="shared" si="267"/>
        <v>4746.68</v>
      </c>
      <c r="AH557" s="43">
        <f t="shared" si="268"/>
        <v>5471.68</v>
      </c>
      <c r="AI557" s="43">
        <f t="shared" si="269"/>
        <v>21886.720000000001</v>
      </c>
      <c r="AJ557" s="43">
        <f t="shared" si="270"/>
        <v>1313203.2000000002</v>
      </c>
      <c r="AK557" s="44">
        <f>VLOOKUP(D557,[1]apoio_Preços_MGS!$A$6:$AN$238,39,FALSE)</f>
        <v>163.63636363636365</v>
      </c>
      <c r="AL557" s="44">
        <f>IF(J557="demais municípios",VLOOKUP(D557,[1]apoio_Preços_MGS!$A$6:$AN$238,39,FALSE),0)</f>
        <v>163.63636363636365</v>
      </c>
      <c r="AM557" s="44">
        <v>0</v>
      </c>
      <c r="AN557" s="45">
        <f t="shared" si="293"/>
        <v>654.54545454545462</v>
      </c>
      <c r="AO557" s="44">
        <f>VLOOKUP(D557,[1]apoio_Preços_MGS!$A$6:$AN$238,40,FALSE)</f>
        <v>646.36</v>
      </c>
      <c r="AP557" s="44">
        <f>IF(J557="demais municípios",VLOOKUP(D557,[1]apoio_Preços_MGS!$A$6:$AN$238,40,FALSE),0)</f>
        <v>646.36</v>
      </c>
      <c r="AQ557" s="44">
        <v>0</v>
      </c>
      <c r="AR557" s="45">
        <f t="shared" si="294"/>
        <v>2585.44</v>
      </c>
      <c r="AS557" s="45">
        <f t="shared" si="277"/>
        <v>3239.9854545454546</v>
      </c>
      <c r="AT557" s="45">
        <f t="shared" si="280"/>
        <v>194399.12727272726</v>
      </c>
      <c r="AU557" s="62"/>
      <c r="AV557" s="46"/>
      <c r="AW557" s="47"/>
      <c r="AX557" s="48"/>
      <c r="AY557" s="49"/>
      <c r="BA557" s="48"/>
    </row>
    <row r="558" spans="1:53" ht="19.5" customHeight="1" x14ac:dyDescent="0.25">
      <c r="A558" s="33" t="str">
        <f t="shared" si="278"/>
        <v>105686360,05</v>
      </c>
      <c r="B558" s="33" t="str">
        <f t="shared" si="279"/>
        <v>11900,05</v>
      </c>
      <c r="C558" s="34" t="str">
        <f>VLOOKUP(D558,[1]apoio_Preços_MGS!$A$6:$B$238,2,FALSE)</f>
        <v>PORTEIRO</v>
      </c>
      <c r="D558" s="35">
        <v>1190</v>
      </c>
      <c r="E558" s="33" t="str">
        <f>VLOOKUP(D558,[1]apoio_Preços_MGS!$A$6:$F$238,6,FALSE)</f>
        <v>PORTEIRO (SUBS. ABSENT.) (18H ÀS 0H) - DIARISTA NOTURNO - 36H</v>
      </c>
      <c r="F558" s="36">
        <f>IFERROR(VLOOKUP(D558,'[1]apoio_cód catmas'!$B$2:$C$863,2,FALSE),0)</f>
        <v>105686</v>
      </c>
      <c r="G558" s="33" t="str">
        <f>IF(H558="N/A",VLOOKUP(F558&amp;40,'[1]apoio_cód catmas'!$A$1:$G$233,4,FALSE),VLOOKUP(F558&amp;H558,'[1]apoio_cód catmas'!$A$1:$G$233,4,FALSE))</f>
        <v>PORTEIRO NOTURNO (COM SUBSTITUICAO) - (18H AS OH)  - 36H</v>
      </c>
      <c r="H558" s="36">
        <v>36</v>
      </c>
      <c r="I558" s="37">
        <v>0.05</v>
      </c>
      <c r="J558" s="38" t="s">
        <v>47</v>
      </c>
      <c r="K558" s="39">
        <v>6</v>
      </c>
      <c r="L558" s="39">
        <f t="shared" si="265"/>
        <v>360</v>
      </c>
      <c r="M558" s="40">
        <f>VLOOKUP(D558,[1]apoio_Preços_MGS!$A$6:$AN$238,18,FALSE)</f>
        <v>1928.4633993761463</v>
      </c>
      <c r="N558" s="40">
        <f>VLOOKUP(D558,[1]apoio_Preços_MGS!$A$6:$AN$238,19,FALSE)</f>
        <v>0</v>
      </c>
      <c r="O558" s="40">
        <f>VLOOKUP(D558,[1]apoio_Preços_MGS!$A$6:$AN$238,20,FALSE)</f>
        <v>255.81687471837017</v>
      </c>
      <c r="P558" s="40">
        <f>VLOOKUP(D558,[1]apoio_Preços_MGS!$A$6:$AN$238,21,FALSE)</f>
        <v>0</v>
      </c>
      <c r="Q558" s="40">
        <f>VLOOKUP(D558,[1]apoio_Preços_MGS!$A$6:$AN$238,22,FALSE)</f>
        <v>20.940329810142927</v>
      </c>
      <c r="R558" s="40">
        <f>VLOOKUP(D558,[1]apoio_Preços_MGS!$A$6:$AN$238,23,FALSE)</f>
        <v>0</v>
      </c>
      <c r="S558" s="40">
        <f>VLOOKUP(D558,[1]apoio_Preços_MGS!$A$6:$AN$238,24,FALSE)</f>
        <v>0</v>
      </c>
      <c r="T558" s="40">
        <f>VLOOKUP(D558,[1]apoio_Preços_MGS!$A$6:$AN$238,25,FALSE)</f>
        <v>0</v>
      </c>
      <c r="U558" s="40">
        <f t="shared" si="273"/>
        <v>2205.2206039046591</v>
      </c>
      <c r="V558" s="41">
        <v>0.81799999999999995</v>
      </c>
      <c r="W558" s="40">
        <f t="shared" si="274"/>
        <v>1803.8704539940111</v>
      </c>
      <c r="X558" s="40">
        <f>VLOOKUP(D558,[1]apoio_Preços_MGS!$A$6:$AN$238,29,FALSE)</f>
        <v>52.672499999999992</v>
      </c>
      <c r="Y558" s="40">
        <f>VLOOKUP(D558,[1]apoio_Preços_MGS!$A$6:$AN$238,30,FALSE)</f>
        <v>1.721363914713578</v>
      </c>
      <c r="Z558" s="40">
        <f t="shared" si="266"/>
        <v>54.39386391471357</v>
      </c>
      <c r="AA558" s="40">
        <f>VLOOKUP(D558,[1]apoio_Preços_MGS!$A$6:$AN$238,32,FALSE)</f>
        <v>3.7026497268022007</v>
      </c>
      <c r="AB558" s="40">
        <f>VLOOKUP(D558,[1]apoio_Preços_MGS!$A$6:$AN$238,33,FALSE)</f>
        <v>128.56909029163657</v>
      </c>
      <c r="AC558" s="41">
        <f>VLOOKUP(D558,[1]apoio_Preços_MGS!$A$6:$AN$238,34,FALSE)</f>
        <v>4.314396214862351E-2</v>
      </c>
      <c r="AD558" s="40">
        <f>(U558+W558+Z558+AB558+AA558+VLOOKUP(C558,[1]apoio_Prec_Folha!$A:$S,7,FALSE))*AC558</f>
        <v>204.61812035543832</v>
      </c>
      <c r="AE558" s="42">
        <f>VLOOKUP(D558,[1]apoio_Preços_MGS!$A$6:$AN$238,36,FALSE)</f>
        <v>7.0000000000000007E-2</v>
      </c>
      <c r="AF558" s="40">
        <f>(U558+W558+Z558+AB558+AD558+AA558+VLOOKUP(C558,[1]apoio_Prec_Folha!$A:$S,7,FALSE))*AE558</f>
        <v>346.31105330980836</v>
      </c>
      <c r="AG558" s="40">
        <f t="shared" si="267"/>
        <v>4746.68</v>
      </c>
      <c r="AH558" s="43">
        <f t="shared" si="268"/>
        <v>5535.48</v>
      </c>
      <c r="AI558" s="43">
        <f t="shared" si="269"/>
        <v>33212.879999999997</v>
      </c>
      <c r="AJ558" s="43">
        <f t="shared" si="270"/>
        <v>1992772.7999999998</v>
      </c>
      <c r="AK558" s="44">
        <f>VLOOKUP(D558,[1]apoio_Preços_MGS!$A$6:$AN$238,39,FALSE)</f>
        <v>163.63636363636365</v>
      </c>
      <c r="AL558" s="44">
        <f>IF(J558="demais municípios",VLOOKUP(D558,[1]apoio_Preços_MGS!$A$6:$AN$238,39,FALSE),0)</f>
        <v>0</v>
      </c>
      <c r="AM558" s="44">
        <f>TRUNC(ROUND(($I558)/(1-($I558)),5)*VLOOKUP(D558,[1]apoio_Preços_MGS!$A$6:$AN$238,39,FALSE)+VLOOKUP(D558,[1]apoio_Preços_MGS!$A$6:$AN$238,39,FALSE),2)</f>
        <v>172.24</v>
      </c>
      <c r="AN558" s="45">
        <f t="shared" si="281"/>
        <v>1033.44</v>
      </c>
      <c r="AO558" s="44">
        <f>VLOOKUP(D558,[1]apoio_Preços_MGS!$A$6:$AN$238,40,FALSE)</f>
        <v>646.36</v>
      </c>
      <c r="AP558" s="44">
        <f>IF(J558="demais municípios",VLOOKUP(D558,[1]apoio_Preços_MGS!$A$6:$AN$238,40,FALSE),0)</f>
        <v>0</v>
      </c>
      <c r="AQ558" s="44">
        <f>TRUNC(ROUND(($I558)/(1-($I558)),5)*VLOOKUP(D558,[1]apoio_Preços_MGS!$A$6:$AN$238,40,FALSE)+VLOOKUP(D558,[1]apoio_Preços_MGS!$A$6:$AN$238,40,FALSE),2)</f>
        <v>680.37</v>
      </c>
      <c r="AR558" s="45">
        <f t="shared" si="282"/>
        <v>4082.2200000000003</v>
      </c>
      <c r="AS558" s="45">
        <f t="shared" si="277"/>
        <v>5115.66</v>
      </c>
      <c r="AT558" s="45">
        <f t="shared" si="280"/>
        <v>306939.59999999998</v>
      </c>
      <c r="AU558" s="62"/>
      <c r="AV558" s="46"/>
      <c r="AW558" s="47"/>
      <c r="AX558" s="48"/>
      <c r="AY558" s="49"/>
      <c r="BA558" s="48"/>
    </row>
    <row r="559" spans="1:53" ht="19.5" customHeight="1" x14ac:dyDescent="0.25">
      <c r="A559" s="33" t="str">
        <f t="shared" si="278"/>
        <v>105694440,05</v>
      </c>
      <c r="B559" s="33" t="str">
        <f t="shared" si="279"/>
        <v>11910,05</v>
      </c>
      <c r="C559" s="34" t="str">
        <f>VLOOKUP(D559,[1]apoio_Preços_MGS!$A$6:$B$238,2,FALSE)</f>
        <v>PORTEIRO</v>
      </c>
      <c r="D559" s="35">
        <v>1191</v>
      </c>
      <c r="E559" s="33" t="str">
        <f>VLOOKUP(D559,[1]apoio_Preços_MGS!$A$6:$F$238,6,FALSE)</f>
        <v>PORTEIRO (SUBS. ABSENT.) (22H ÀS 6H) - DIARISTA NOTURNO - 44H</v>
      </c>
      <c r="F559" s="36">
        <f>IFERROR(VLOOKUP(D559,'[1]apoio_cód catmas'!$B$2:$C$863,2,FALSE),0)</f>
        <v>105694</v>
      </c>
      <c r="G559" s="33" t="str">
        <f>IF(H559="N/A",VLOOKUP(F559&amp;40,'[1]apoio_cód catmas'!$A$1:$G$233,4,FALSE),VLOOKUP(F559&amp;H559,'[1]apoio_cód catmas'!$A$1:$G$233,4,FALSE))</f>
        <v>PORTEIRO NOTURNO (COM SUBSTITUICAO) - (22H AS 6H) - 44H</v>
      </c>
      <c r="H559" s="36">
        <v>44</v>
      </c>
      <c r="I559" s="37">
        <v>0.05</v>
      </c>
      <c r="J559" s="38" t="s">
        <v>46</v>
      </c>
      <c r="K559" s="39">
        <f>4-K560</f>
        <v>1</v>
      </c>
      <c r="L559" s="39">
        <f t="shared" si="265"/>
        <v>60</v>
      </c>
      <c r="M559" s="40">
        <f>VLOOKUP(D559,[1]apoio_Preços_MGS!$A$6:$AN$238,18,FALSE)</f>
        <v>2357.0108214597344</v>
      </c>
      <c r="N559" s="40">
        <f>VLOOKUP(D559,[1]apoio_Preços_MGS!$A$6:$AN$238,19,FALSE)</f>
        <v>0</v>
      </c>
      <c r="O559" s="40">
        <f>VLOOKUP(D559,[1]apoio_Preços_MGS!$A$6:$AN$238,20,FALSE)</f>
        <v>757.61151358901941</v>
      </c>
      <c r="P559" s="40">
        <f>VLOOKUP(D559,[1]apoio_Preços_MGS!$A$6:$AN$238,21,FALSE)</f>
        <v>16.537496195925836</v>
      </c>
      <c r="Q559" s="40">
        <f>VLOOKUP(D559,[1]apoio_Preços_MGS!$A$6:$AN$238,22,FALSE)</f>
        <v>62.015592130038677</v>
      </c>
      <c r="R559" s="40">
        <f>VLOOKUP(D559,[1]apoio_Preços_MGS!$A$6:$AN$238,23,FALSE)</f>
        <v>0</v>
      </c>
      <c r="S559" s="40">
        <f>VLOOKUP(D559,[1]apoio_Preços_MGS!$A$6:$AN$238,24,FALSE)</f>
        <v>0</v>
      </c>
      <c r="T559" s="40">
        <f>VLOOKUP(D559,[1]apoio_Preços_MGS!$A$6:$AN$238,25,FALSE)</f>
        <v>0</v>
      </c>
      <c r="U559" s="40">
        <f t="shared" si="273"/>
        <v>3193.1754233747188</v>
      </c>
      <c r="V559" s="41">
        <v>0.81799999999999995</v>
      </c>
      <c r="W559" s="40">
        <f t="shared" si="274"/>
        <v>2612.01749632052</v>
      </c>
      <c r="X559" s="40">
        <f>VLOOKUP(D559,[1]apoio_Preços_MGS!$A$6:$AN$238,29,FALSE)</f>
        <v>52.672499999999992</v>
      </c>
      <c r="Y559" s="40">
        <f>VLOOKUP(D559,[1]apoio_Preços_MGS!$A$6:$AN$238,30,FALSE)</f>
        <v>1.721363914713578</v>
      </c>
      <c r="Z559" s="40">
        <f t="shared" si="266"/>
        <v>54.39386391471357</v>
      </c>
      <c r="AA559" s="40">
        <f>VLOOKUP(D559,[1]apoio_Preços_MGS!$A$6:$AN$238,32,FALSE)</f>
        <v>4.5254607772026896</v>
      </c>
      <c r="AB559" s="40">
        <f>VLOOKUP(D559,[1]apoio_Preços_MGS!$A$6:$AN$238,33,FALSE)</f>
        <v>114.60128756822279</v>
      </c>
      <c r="AC559" s="41">
        <f>VLOOKUP(D559,[1]apoio_Preços_MGS!$A$6:$AN$238,34,FALSE)</f>
        <v>4.314396214862351E-2</v>
      </c>
      <c r="AD559" s="40">
        <f>(U559+W559+Z559+AB559+AA559+VLOOKUP(C559,[1]apoio_Prec_Folha!$A:$S,7,FALSE))*AC559</f>
        <v>281.54194407267721</v>
      </c>
      <c r="AE559" s="42">
        <f>VLOOKUP(D559,[1]apoio_Preços_MGS!$A$6:$AN$238,36,FALSE)</f>
        <v>7.0000000000000007E-2</v>
      </c>
      <c r="AF559" s="40">
        <f>(U559+W559+Z559+AB559+AD559+AA559+VLOOKUP(C559,[1]apoio_Prec_Folha!$A:$S,7,FALSE))*AE559</f>
        <v>476.50270187866397</v>
      </c>
      <c r="AG559" s="40">
        <f t="shared" si="267"/>
        <v>6736.75</v>
      </c>
      <c r="AH559" s="43">
        <f t="shared" si="268"/>
        <v>7856.26</v>
      </c>
      <c r="AI559" s="43">
        <f t="shared" si="269"/>
        <v>7856.26</v>
      </c>
      <c r="AJ559" s="43">
        <f t="shared" si="270"/>
        <v>471375.60000000003</v>
      </c>
      <c r="AK559" s="44">
        <f>VLOOKUP(D559,[1]apoio_Preços_MGS!$A$6:$AN$238,39,FALSE)</f>
        <v>200.00000000000003</v>
      </c>
      <c r="AL559" s="44">
        <f>IF(J559="demais municípios",VLOOKUP(D559,[1]apoio_Preços_MGS!$A$6:$AN$238,39,FALSE),0)</f>
        <v>200.00000000000003</v>
      </c>
      <c r="AM559" s="44">
        <v>0</v>
      </c>
      <c r="AN559" s="45">
        <f>AK559*K559</f>
        <v>200.00000000000003</v>
      </c>
      <c r="AO559" s="44">
        <f>VLOOKUP(D559,[1]apoio_Preços_MGS!$A$6:$AN$238,40,FALSE)</f>
        <v>546.91999999999996</v>
      </c>
      <c r="AP559" s="44">
        <f>IF(J559="demais municípios",VLOOKUP(D559,[1]apoio_Preços_MGS!$A$6:$AN$238,40,FALSE),0)</f>
        <v>546.91999999999996</v>
      </c>
      <c r="AQ559" s="44">
        <v>0</v>
      </c>
      <c r="AR559" s="45">
        <f>AO559*K559</f>
        <v>546.91999999999996</v>
      </c>
      <c r="AS559" s="45">
        <f t="shared" si="277"/>
        <v>746.92</v>
      </c>
      <c r="AT559" s="45">
        <f t="shared" si="280"/>
        <v>44815.199999999997</v>
      </c>
      <c r="AU559" s="62"/>
      <c r="AV559" s="46"/>
      <c r="AW559" s="47"/>
      <c r="AX559" s="48"/>
      <c r="AY559" s="49"/>
      <c r="BA559" s="48"/>
    </row>
    <row r="560" spans="1:53" ht="19.5" customHeight="1" x14ac:dyDescent="0.25">
      <c r="A560" s="33" t="str">
        <f t="shared" si="278"/>
        <v>105694440,05</v>
      </c>
      <c r="B560" s="33" t="str">
        <f t="shared" si="279"/>
        <v>11910,05</v>
      </c>
      <c r="C560" s="34" t="str">
        <f>VLOOKUP(D560,[1]apoio_Preços_MGS!$A$6:$B$238,2,FALSE)</f>
        <v>PORTEIRO</v>
      </c>
      <c r="D560" s="35">
        <v>1191</v>
      </c>
      <c r="E560" s="33" t="str">
        <f>VLOOKUP(D560,[1]apoio_Preços_MGS!$A$6:$F$238,6,FALSE)</f>
        <v>PORTEIRO (SUBS. ABSENT.) (22H ÀS 6H) - DIARISTA NOTURNO - 44H</v>
      </c>
      <c r="F560" s="36">
        <f>IFERROR(VLOOKUP(D560,'[1]apoio_cód catmas'!$B$2:$C$863,2,FALSE),0)</f>
        <v>105694</v>
      </c>
      <c r="G560" s="33" t="str">
        <f>IF(H560="N/A",VLOOKUP(F560&amp;40,'[1]apoio_cód catmas'!$A$1:$G$233,4,FALSE),VLOOKUP(F560&amp;H560,'[1]apoio_cód catmas'!$A$1:$G$233,4,FALSE))</f>
        <v>PORTEIRO NOTURNO (COM SUBSTITUICAO) - (22H AS 6H) - 44H</v>
      </c>
      <c r="H560" s="36">
        <v>44</v>
      </c>
      <c r="I560" s="37">
        <v>0.05</v>
      </c>
      <c r="J560" s="38" t="s">
        <v>47</v>
      </c>
      <c r="K560" s="39">
        <v>3</v>
      </c>
      <c r="L560" s="39">
        <f t="shared" si="265"/>
        <v>180</v>
      </c>
      <c r="M560" s="40">
        <f>VLOOKUP(D560,[1]apoio_Preços_MGS!$A$6:$AN$238,18,FALSE)</f>
        <v>2357.0108214597344</v>
      </c>
      <c r="N560" s="40">
        <f>VLOOKUP(D560,[1]apoio_Preços_MGS!$A$6:$AN$238,19,FALSE)</f>
        <v>0</v>
      </c>
      <c r="O560" s="40">
        <f>VLOOKUP(D560,[1]apoio_Preços_MGS!$A$6:$AN$238,20,FALSE)</f>
        <v>757.61151358901941</v>
      </c>
      <c r="P560" s="40">
        <f>VLOOKUP(D560,[1]apoio_Preços_MGS!$A$6:$AN$238,21,FALSE)</f>
        <v>16.537496195925836</v>
      </c>
      <c r="Q560" s="40">
        <f>VLOOKUP(D560,[1]apoio_Preços_MGS!$A$6:$AN$238,22,FALSE)</f>
        <v>62.015592130038677</v>
      </c>
      <c r="R560" s="40">
        <f>VLOOKUP(D560,[1]apoio_Preços_MGS!$A$6:$AN$238,23,FALSE)</f>
        <v>0</v>
      </c>
      <c r="S560" s="40">
        <f>VLOOKUP(D560,[1]apoio_Preços_MGS!$A$6:$AN$238,24,FALSE)</f>
        <v>0</v>
      </c>
      <c r="T560" s="40">
        <f>VLOOKUP(D560,[1]apoio_Preços_MGS!$A$6:$AN$238,25,FALSE)</f>
        <v>0</v>
      </c>
      <c r="U560" s="40">
        <f t="shared" si="273"/>
        <v>3193.1754233747188</v>
      </c>
      <c r="V560" s="41">
        <v>0.81799999999999995</v>
      </c>
      <c r="W560" s="40">
        <f t="shared" si="274"/>
        <v>2612.01749632052</v>
      </c>
      <c r="X560" s="40">
        <f>VLOOKUP(D560,[1]apoio_Preços_MGS!$A$6:$AN$238,29,FALSE)</f>
        <v>52.672499999999992</v>
      </c>
      <c r="Y560" s="40">
        <f>VLOOKUP(D560,[1]apoio_Preços_MGS!$A$6:$AN$238,30,FALSE)</f>
        <v>1.721363914713578</v>
      </c>
      <c r="Z560" s="40">
        <f t="shared" si="266"/>
        <v>54.39386391471357</v>
      </c>
      <c r="AA560" s="40">
        <f>VLOOKUP(D560,[1]apoio_Preços_MGS!$A$6:$AN$238,32,FALSE)</f>
        <v>4.5254607772026896</v>
      </c>
      <c r="AB560" s="40">
        <f>VLOOKUP(D560,[1]apoio_Preços_MGS!$A$6:$AN$238,33,FALSE)</f>
        <v>114.60128756822279</v>
      </c>
      <c r="AC560" s="41">
        <f>VLOOKUP(D560,[1]apoio_Preços_MGS!$A$6:$AN$238,34,FALSE)</f>
        <v>4.314396214862351E-2</v>
      </c>
      <c r="AD560" s="40">
        <f>(U560+W560+Z560+AB560+AA560+VLOOKUP(C560,[1]apoio_Prec_Folha!$A:$S,7,FALSE))*AC560</f>
        <v>281.54194407267721</v>
      </c>
      <c r="AE560" s="42">
        <f>VLOOKUP(D560,[1]apoio_Preços_MGS!$A$6:$AN$238,36,FALSE)</f>
        <v>7.0000000000000007E-2</v>
      </c>
      <c r="AF560" s="40">
        <f>(U560+W560+Z560+AB560+AD560+AA560+VLOOKUP(C560,[1]apoio_Prec_Folha!$A:$S,7,FALSE))*AE560</f>
        <v>476.50270187866397</v>
      </c>
      <c r="AG560" s="40">
        <f t="shared" si="267"/>
        <v>6736.75</v>
      </c>
      <c r="AH560" s="43">
        <f t="shared" si="268"/>
        <v>7856.26</v>
      </c>
      <c r="AI560" s="43">
        <f t="shared" si="269"/>
        <v>23568.78</v>
      </c>
      <c r="AJ560" s="43">
        <f t="shared" si="270"/>
        <v>1414126.8</v>
      </c>
      <c r="AK560" s="44">
        <f>VLOOKUP(D560,[1]apoio_Preços_MGS!$A$6:$AN$238,39,FALSE)</f>
        <v>200.00000000000003</v>
      </c>
      <c r="AL560" s="44">
        <f>IF(J560="demais municípios",VLOOKUP(D560,[1]apoio_Preços_MGS!$A$6:$AN$238,39,FALSE),0)</f>
        <v>0</v>
      </c>
      <c r="AM560" s="44">
        <f>TRUNC(ROUND(($I560)/(1-($I560)),5)*VLOOKUP(D560,[1]apoio_Preços_MGS!$A$6:$AN$238,39,FALSE)+VLOOKUP(D560,[1]apoio_Preços_MGS!$A$6:$AN$238,39,FALSE),2)</f>
        <v>210.52</v>
      </c>
      <c r="AN560" s="45">
        <f t="shared" si="281"/>
        <v>631.56000000000006</v>
      </c>
      <c r="AO560" s="44">
        <f>VLOOKUP(D560,[1]apoio_Preços_MGS!$A$6:$AN$238,40,FALSE)</f>
        <v>546.91999999999996</v>
      </c>
      <c r="AP560" s="44">
        <f>IF(J560="demais municípios",VLOOKUP(D560,[1]apoio_Preços_MGS!$A$6:$AN$238,40,FALSE),0)</f>
        <v>0</v>
      </c>
      <c r="AQ560" s="44">
        <f>TRUNC(ROUND(($I560)/(1-($I560)),5)*VLOOKUP(D560,[1]apoio_Preços_MGS!$A$6:$AN$238,40,FALSE)+VLOOKUP(D560,[1]apoio_Preços_MGS!$A$6:$AN$238,40,FALSE),2)</f>
        <v>575.70000000000005</v>
      </c>
      <c r="AR560" s="45">
        <f t="shared" si="282"/>
        <v>1727.1000000000001</v>
      </c>
      <c r="AS560" s="45">
        <f t="shared" si="277"/>
        <v>2358.6600000000003</v>
      </c>
      <c r="AT560" s="45">
        <f t="shared" si="280"/>
        <v>141519.6</v>
      </c>
      <c r="AU560" s="62"/>
      <c r="AV560" s="46"/>
      <c r="AW560" s="47"/>
      <c r="AX560" s="48"/>
      <c r="AY560" s="49"/>
      <c r="BA560" s="48"/>
    </row>
    <row r="561" spans="1:53" ht="19.5" customHeight="1" x14ac:dyDescent="0.25">
      <c r="A561" s="33" t="str">
        <f t="shared" si="278"/>
        <v>64041440,02</v>
      </c>
      <c r="B561" s="33" t="str">
        <f t="shared" si="279"/>
        <v>2140,02</v>
      </c>
      <c r="C561" s="34" t="str">
        <f>VLOOKUP(D561,[1]apoio_Preços_MGS!$A$6:$B$238,2,FALSE)</f>
        <v>RECEPCIONISTA</v>
      </c>
      <c r="D561" s="35">
        <v>214</v>
      </c>
      <c r="E561" s="33" t="str">
        <f>VLOOKUP(D561,[1]apoio_Preços_MGS!$A$6:$F$238,6,FALSE)</f>
        <v>RECEPCIONISTA - 12x36 DIURNO - 44H</v>
      </c>
      <c r="F561" s="36">
        <f>IFERROR(VLOOKUP(D561,'[1]apoio_cód catmas'!$B$2:$C$863,2,FALSE),0)</f>
        <v>64041</v>
      </c>
      <c r="G561" s="33" t="str">
        <f>IF(H561="N/A",VLOOKUP(F561&amp;40,'[1]apoio_cód catmas'!$A$1:$G$233,4,FALSE),VLOOKUP(F561&amp;H561,'[1]apoio_cód catmas'!$A$1:$G$233,4,FALSE))</f>
        <v>RECEPCIONISTA - 12X36 DIURNO - 44H</v>
      </c>
      <c r="H561" s="36">
        <v>44</v>
      </c>
      <c r="I561" s="37">
        <v>0.02</v>
      </c>
      <c r="J561" s="38" t="s">
        <v>46</v>
      </c>
      <c r="K561" s="39">
        <v>18</v>
      </c>
      <c r="L561" s="39">
        <f t="shared" si="265"/>
        <v>1080</v>
      </c>
      <c r="M561" s="40">
        <f>VLOOKUP(D561,[1]apoio_Preços_MGS!$A$6:$AN$238,18,FALSE)</f>
        <v>3237.025661686117</v>
      </c>
      <c r="N561" s="40">
        <f>VLOOKUP(D561,[1]apoio_Preços_MGS!$A$6:$AN$238,19,FALSE)</f>
        <v>0</v>
      </c>
      <c r="O561" s="40">
        <f>VLOOKUP(D561,[1]apoio_Preços_MGS!$A$6:$AN$238,20,FALSE)</f>
        <v>0</v>
      </c>
      <c r="P561" s="40">
        <f>VLOOKUP(D561,[1]apoio_Preços_MGS!$A$6:$AN$238,21,FALSE)</f>
        <v>0</v>
      </c>
      <c r="Q561" s="40">
        <f>VLOOKUP(D561,[1]apoio_Preços_MGS!$A$6:$AN$238,22,FALSE)</f>
        <v>0</v>
      </c>
      <c r="R561" s="40">
        <f>VLOOKUP(D561,[1]apoio_Preços_MGS!$A$6:$AN$238,23,FALSE)</f>
        <v>0</v>
      </c>
      <c r="S561" s="40">
        <f>VLOOKUP(D561,[1]apoio_Preços_MGS!$A$6:$AN$238,24,FALSE)</f>
        <v>0</v>
      </c>
      <c r="T561" s="40">
        <f>VLOOKUP(D561,[1]apoio_Preços_MGS!$A$6:$AN$238,25,FALSE)</f>
        <v>4.4958689745640514</v>
      </c>
      <c r="U561" s="40">
        <f t="shared" si="273"/>
        <v>3241.521530660681</v>
      </c>
      <c r="V561" s="41">
        <v>0.81799999999999995</v>
      </c>
      <c r="W561" s="40">
        <f t="shared" si="274"/>
        <v>2651.5646120804367</v>
      </c>
      <c r="X561" s="40">
        <f>VLOOKUP(D561,[1]apoio_Preços_MGS!$A$6:$AN$238,29,FALSE)</f>
        <v>62.000833333333333</v>
      </c>
      <c r="Y561" s="40">
        <f>VLOOKUP(D561,[1]apoio_Preços_MGS!$A$6:$AN$238,30,FALSE)</f>
        <v>0</v>
      </c>
      <c r="Z561" s="40">
        <f t="shared" si="266"/>
        <v>62.000833333333333</v>
      </c>
      <c r="AA561" s="40">
        <f>VLOOKUP(D561,[1]apoio_Preços_MGS!$A$6:$AN$238,32,FALSE)</f>
        <v>6.2150892704373444</v>
      </c>
      <c r="AB561" s="40">
        <f>VLOOKUP(D561,[1]apoio_Preços_MGS!$A$6:$AN$238,33,FALSE)</f>
        <v>113.64067261146543</v>
      </c>
      <c r="AC561" s="41">
        <f>VLOOKUP(D561,[1]apoio_Preços_MGS!$A$6:$AN$238,34,FALSE)</f>
        <v>3.2562971679721289E-2</v>
      </c>
      <c r="AD561" s="40">
        <f>(U561+W561+Z561+AB561+AA561+VLOOKUP(C561,[1]apoio_Prec_Folha!$A:$S,7,FALSE))*AC561</f>
        <v>215.72764749654178</v>
      </c>
      <c r="AE561" s="42">
        <f>VLOOKUP(D561,[1]apoio_Preços_MGS!$A$6:$AN$238,36,FALSE)</f>
        <v>7.0000000000000007E-2</v>
      </c>
      <c r="AF561" s="40">
        <f>(U561+W561+Z561+AB561+AD561+AA561+VLOOKUP(C561,[1]apoio_Prec_Folha!$A:$S,7,FALSE))*AE561</f>
        <v>478.84655023011038</v>
      </c>
      <c r="AG561" s="40">
        <f t="shared" si="267"/>
        <v>6769.51</v>
      </c>
      <c r="AH561" s="43">
        <f t="shared" si="268"/>
        <v>7627.61</v>
      </c>
      <c r="AI561" s="43">
        <f t="shared" si="269"/>
        <v>137296.97999999998</v>
      </c>
      <c r="AJ561" s="43">
        <f t="shared" si="270"/>
        <v>8237818.7999999998</v>
      </c>
      <c r="AK561" s="44">
        <f>VLOOKUP(D561,[1]apoio_Preços_MGS!$A$6:$AN$238,39,FALSE)</f>
        <v>200.00000000000003</v>
      </c>
      <c r="AL561" s="44">
        <f>IF(J561="demais municípios",VLOOKUP(D561,[1]apoio_Preços_MGS!$A$6:$AN$238,39,FALSE),0)</f>
        <v>200.00000000000003</v>
      </c>
      <c r="AM561" s="44">
        <v>0</v>
      </c>
      <c r="AN561" s="45">
        <f t="shared" ref="AN561:AN568" si="295">AK561*K561</f>
        <v>3600.0000000000005</v>
      </c>
      <c r="AO561" s="44">
        <f>VLOOKUP(D561,[1]apoio_Preços_MGS!$A$6:$AN$238,40,FALSE)</f>
        <v>549.99</v>
      </c>
      <c r="AP561" s="44">
        <f>IF(J561="demais municípios",VLOOKUP(D561,[1]apoio_Preços_MGS!$A$6:$AN$238,40,FALSE),0)</f>
        <v>549.99</v>
      </c>
      <c r="AQ561" s="44">
        <v>0</v>
      </c>
      <c r="AR561" s="45">
        <f t="shared" ref="AR561:AR568" si="296">AO561*K561</f>
        <v>9899.82</v>
      </c>
      <c r="AS561" s="45">
        <f t="shared" si="277"/>
        <v>13499.82</v>
      </c>
      <c r="AT561" s="45">
        <f t="shared" si="280"/>
        <v>809989.2</v>
      </c>
      <c r="AU561" s="62"/>
      <c r="AV561" s="46"/>
      <c r="AW561" s="47"/>
      <c r="AX561" s="48"/>
      <c r="AY561" s="49"/>
      <c r="BA561" s="48"/>
    </row>
    <row r="562" spans="1:53" ht="19.5" customHeight="1" x14ac:dyDescent="0.25">
      <c r="A562" s="33" t="str">
        <f t="shared" si="278"/>
        <v>64041440,03</v>
      </c>
      <c r="B562" s="33" t="str">
        <f t="shared" si="279"/>
        <v>2140,03</v>
      </c>
      <c r="C562" s="34" t="str">
        <f>VLOOKUP(D562,[1]apoio_Preços_MGS!$A$6:$B$238,2,FALSE)</f>
        <v>RECEPCIONISTA</v>
      </c>
      <c r="D562" s="35">
        <v>214</v>
      </c>
      <c r="E562" s="33" t="str">
        <f>VLOOKUP(D562,[1]apoio_Preços_MGS!$A$6:$F$238,6,FALSE)</f>
        <v>RECEPCIONISTA - 12x36 DIURNO - 44H</v>
      </c>
      <c r="F562" s="36">
        <f>IFERROR(VLOOKUP(D562,'[1]apoio_cód catmas'!$B$2:$C$863,2,FALSE),0)</f>
        <v>64041</v>
      </c>
      <c r="G562" s="33" t="str">
        <f>IF(H562="N/A",VLOOKUP(F562&amp;40,'[1]apoio_cód catmas'!$A$1:$G$233,4,FALSE),VLOOKUP(F562&amp;H562,'[1]apoio_cód catmas'!$A$1:$G$233,4,FALSE))</f>
        <v>RECEPCIONISTA - 12X36 DIURNO - 44H</v>
      </c>
      <c r="H562" s="36">
        <v>44</v>
      </c>
      <c r="I562" s="37">
        <v>0.03</v>
      </c>
      <c r="J562" s="38" t="s">
        <v>46</v>
      </c>
      <c r="K562" s="39">
        <f>17-2</f>
        <v>15</v>
      </c>
      <c r="L562" s="39">
        <f t="shared" si="265"/>
        <v>900</v>
      </c>
      <c r="M562" s="40">
        <f>VLOOKUP(D562,[1]apoio_Preços_MGS!$A$6:$AN$238,18,FALSE)</f>
        <v>3237.025661686117</v>
      </c>
      <c r="N562" s="40">
        <f>VLOOKUP(D562,[1]apoio_Preços_MGS!$A$6:$AN$238,19,FALSE)</f>
        <v>0</v>
      </c>
      <c r="O562" s="40">
        <f>VLOOKUP(D562,[1]apoio_Preços_MGS!$A$6:$AN$238,20,FALSE)</f>
        <v>0</v>
      </c>
      <c r="P562" s="40">
        <f>VLOOKUP(D562,[1]apoio_Preços_MGS!$A$6:$AN$238,21,FALSE)</f>
        <v>0</v>
      </c>
      <c r="Q562" s="40">
        <f>VLOOKUP(D562,[1]apoio_Preços_MGS!$A$6:$AN$238,22,FALSE)</f>
        <v>0</v>
      </c>
      <c r="R562" s="40">
        <f>VLOOKUP(D562,[1]apoio_Preços_MGS!$A$6:$AN$238,23,FALSE)</f>
        <v>0</v>
      </c>
      <c r="S562" s="40">
        <f>VLOOKUP(D562,[1]apoio_Preços_MGS!$A$6:$AN$238,24,FALSE)</f>
        <v>0</v>
      </c>
      <c r="T562" s="40">
        <f>VLOOKUP(D562,[1]apoio_Preços_MGS!$A$6:$AN$238,25,FALSE)</f>
        <v>4.4958689745640514</v>
      </c>
      <c r="U562" s="40">
        <f t="shared" si="273"/>
        <v>3241.521530660681</v>
      </c>
      <c r="V562" s="41">
        <v>0.81799999999999995</v>
      </c>
      <c r="W562" s="40">
        <f t="shared" si="274"/>
        <v>2651.5646120804367</v>
      </c>
      <c r="X562" s="40">
        <f>VLOOKUP(D562,[1]apoio_Preços_MGS!$A$6:$AN$238,29,FALSE)</f>
        <v>62.000833333333333</v>
      </c>
      <c r="Y562" s="40">
        <f>VLOOKUP(D562,[1]apoio_Preços_MGS!$A$6:$AN$238,30,FALSE)</f>
        <v>0</v>
      </c>
      <c r="Z562" s="40">
        <f t="shared" si="266"/>
        <v>62.000833333333333</v>
      </c>
      <c r="AA562" s="40">
        <f>VLOOKUP(D562,[1]apoio_Preços_MGS!$A$6:$AN$238,32,FALSE)</f>
        <v>6.2150892704373444</v>
      </c>
      <c r="AB562" s="40">
        <f>VLOOKUP(D562,[1]apoio_Preços_MGS!$A$6:$AN$238,33,FALSE)</f>
        <v>113.64067261146543</v>
      </c>
      <c r="AC562" s="41">
        <f>VLOOKUP(D562,[1]apoio_Preços_MGS!$A$6:$AN$238,34,FALSE)</f>
        <v>3.2562971679721289E-2</v>
      </c>
      <c r="AD562" s="40">
        <f>(U562+W562+Z562+AB562+AA562+VLOOKUP(C562,[1]apoio_Prec_Folha!$A:$S,7,FALSE))*AC562</f>
        <v>215.72764749654178</v>
      </c>
      <c r="AE562" s="42">
        <f>VLOOKUP(D562,[1]apoio_Preços_MGS!$A$6:$AN$238,36,FALSE)</f>
        <v>7.0000000000000007E-2</v>
      </c>
      <c r="AF562" s="40">
        <f>(U562+W562+Z562+AB562+AD562+AA562+VLOOKUP(C562,[1]apoio_Prec_Folha!$A:$S,7,FALSE))*AE562</f>
        <v>478.84655023011038</v>
      </c>
      <c r="AG562" s="40">
        <f t="shared" si="267"/>
        <v>6769.51</v>
      </c>
      <c r="AH562" s="43">
        <f t="shared" si="268"/>
        <v>7714.53</v>
      </c>
      <c r="AI562" s="43">
        <f t="shared" si="269"/>
        <v>115717.95</v>
      </c>
      <c r="AJ562" s="43">
        <f t="shared" si="270"/>
        <v>6943077</v>
      </c>
      <c r="AK562" s="44">
        <f>VLOOKUP(D562,[1]apoio_Preços_MGS!$A$6:$AN$238,39,FALSE)</f>
        <v>200.00000000000003</v>
      </c>
      <c r="AL562" s="44">
        <f>IF(J562="demais municípios",VLOOKUP(D562,[1]apoio_Preços_MGS!$A$6:$AN$238,39,FALSE),0)</f>
        <v>200.00000000000003</v>
      </c>
      <c r="AM562" s="44">
        <v>0</v>
      </c>
      <c r="AN562" s="45">
        <f t="shared" si="295"/>
        <v>3000.0000000000005</v>
      </c>
      <c r="AO562" s="44">
        <f>VLOOKUP(D562,[1]apoio_Preços_MGS!$A$6:$AN$238,40,FALSE)</f>
        <v>549.99</v>
      </c>
      <c r="AP562" s="44">
        <f>IF(J562="demais municípios",VLOOKUP(D562,[1]apoio_Preços_MGS!$A$6:$AN$238,40,FALSE),0)</f>
        <v>549.99</v>
      </c>
      <c r="AQ562" s="44">
        <v>0</v>
      </c>
      <c r="AR562" s="45">
        <f t="shared" si="296"/>
        <v>8249.85</v>
      </c>
      <c r="AS562" s="45">
        <f t="shared" si="277"/>
        <v>11249.85</v>
      </c>
      <c r="AT562" s="45">
        <f t="shared" si="280"/>
        <v>674991</v>
      </c>
      <c r="AU562" s="62"/>
      <c r="AV562" s="46"/>
      <c r="AW562" s="47"/>
      <c r="AX562" s="48"/>
      <c r="AY562" s="49"/>
      <c r="BA562" s="48"/>
    </row>
    <row r="563" spans="1:53" ht="19.5" customHeight="1" x14ac:dyDescent="0.25">
      <c r="A563" s="33" t="str">
        <f t="shared" si="278"/>
        <v>64041440,035</v>
      </c>
      <c r="B563" s="33" t="str">
        <f t="shared" si="279"/>
        <v>2140,035</v>
      </c>
      <c r="C563" s="34" t="str">
        <f>VLOOKUP(D563,[1]apoio_Preços_MGS!$A$6:$B$238,2,FALSE)</f>
        <v>RECEPCIONISTA</v>
      </c>
      <c r="D563" s="35">
        <v>214</v>
      </c>
      <c r="E563" s="33" t="str">
        <f>VLOOKUP(D563,[1]apoio_Preços_MGS!$A$6:$F$238,6,FALSE)</f>
        <v>RECEPCIONISTA - 12x36 DIURNO - 44H</v>
      </c>
      <c r="F563" s="36">
        <f>IFERROR(VLOOKUP(D563,'[1]apoio_cód catmas'!$B$2:$C$863,2,FALSE),0)</f>
        <v>64041</v>
      </c>
      <c r="G563" s="33" t="str">
        <f>IF(H563="N/A",VLOOKUP(F563&amp;40,'[1]apoio_cód catmas'!$A$1:$G$233,4,FALSE),VLOOKUP(F563&amp;H563,'[1]apoio_cód catmas'!$A$1:$G$233,4,FALSE))</f>
        <v>RECEPCIONISTA - 12X36 DIURNO - 44H</v>
      </c>
      <c r="H563" s="36">
        <v>44</v>
      </c>
      <c r="I563" s="37">
        <v>3.5000000000000003E-2</v>
      </c>
      <c r="J563" s="38" t="s">
        <v>46</v>
      </c>
      <c r="K563" s="39">
        <v>3</v>
      </c>
      <c r="L563" s="39">
        <f>K563*56</f>
        <v>168</v>
      </c>
      <c r="M563" s="40">
        <f>VLOOKUP(D563,[1]apoio_Preços_MGS!$A$6:$AN$238,18,FALSE)</f>
        <v>3237.025661686117</v>
      </c>
      <c r="N563" s="40">
        <f>VLOOKUP(D563,[1]apoio_Preços_MGS!$A$6:$AN$238,19,FALSE)</f>
        <v>0</v>
      </c>
      <c r="O563" s="40">
        <f>VLOOKUP(D563,[1]apoio_Preços_MGS!$A$6:$AN$238,20,FALSE)</f>
        <v>0</v>
      </c>
      <c r="P563" s="40">
        <f>VLOOKUP(D563,[1]apoio_Preços_MGS!$A$6:$AN$238,21,FALSE)</f>
        <v>0</v>
      </c>
      <c r="Q563" s="40">
        <f>VLOOKUP(D563,[1]apoio_Preços_MGS!$A$6:$AN$238,22,FALSE)</f>
        <v>0</v>
      </c>
      <c r="R563" s="40">
        <f>VLOOKUP(D563,[1]apoio_Preços_MGS!$A$6:$AN$238,23,FALSE)</f>
        <v>0</v>
      </c>
      <c r="S563" s="40">
        <f>VLOOKUP(D563,[1]apoio_Preços_MGS!$A$6:$AN$238,24,FALSE)</f>
        <v>0</v>
      </c>
      <c r="T563" s="40">
        <f>VLOOKUP(D563,[1]apoio_Preços_MGS!$A$6:$AN$238,25,FALSE)</f>
        <v>4.4958689745640514</v>
      </c>
      <c r="U563" s="40">
        <f t="shared" si="273"/>
        <v>3241.521530660681</v>
      </c>
      <c r="V563" s="41">
        <v>0.81799999999999995</v>
      </c>
      <c r="W563" s="40">
        <f t="shared" si="274"/>
        <v>2651.5646120804367</v>
      </c>
      <c r="X563" s="40">
        <f>VLOOKUP(D563,[1]apoio_Preços_MGS!$A$6:$AN$238,29,FALSE)</f>
        <v>62.000833333333333</v>
      </c>
      <c r="Y563" s="40">
        <f>VLOOKUP(D563,[1]apoio_Preços_MGS!$A$6:$AN$238,30,FALSE)</f>
        <v>0</v>
      </c>
      <c r="Z563" s="40">
        <f t="shared" si="266"/>
        <v>62.000833333333333</v>
      </c>
      <c r="AA563" s="40">
        <f>VLOOKUP(D563,[1]apoio_Preços_MGS!$A$6:$AN$238,32,FALSE)</f>
        <v>6.2150892704373444</v>
      </c>
      <c r="AB563" s="40">
        <f>VLOOKUP(D563,[1]apoio_Preços_MGS!$A$6:$AN$238,33,FALSE)</f>
        <v>113.64067261146543</v>
      </c>
      <c r="AC563" s="41">
        <f>VLOOKUP(D563,[1]apoio_Preços_MGS!$A$6:$AN$238,34,FALSE)</f>
        <v>3.2562971679721289E-2</v>
      </c>
      <c r="AD563" s="40">
        <f>(U563+W563+Z563+AB563+AA563+VLOOKUP(C563,[1]apoio_Prec_Folha!$A:$S,7,FALSE))*AC563</f>
        <v>215.72764749654178</v>
      </c>
      <c r="AE563" s="42">
        <f>VLOOKUP(D563,[1]apoio_Preços_MGS!$A$6:$AN$238,36,FALSE)</f>
        <v>7.0000000000000007E-2</v>
      </c>
      <c r="AF563" s="40">
        <f>(U563+W563+Z563+AB563+AD563+AA563+VLOOKUP(C563,[1]apoio_Prec_Folha!$A:$S,7,FALSE))*AE563</f>
        <v>478.84655023011038</v>
      </c>
      <c r="AG563" s="40">
        <f t="shared" si="267"/>
        <v>6769.51</v>
      </c>
      <c r="AH563" s="43">
        <f t="shared" si="268"/>
        <v>7758.73</v>
      </c>
      <c r="AI563" s="43">
        <f t="shared" si="269"/>
        <v>23276.19</v>
      </c>
      <c r="AJ563" s="43">
        <f t="shared" si="270"/>
        <v>1303466.6399999999</v>
      </c>
      <c r="AK563" s="44">
        <f>VLOOKUP(D563,[1]apoio_Preços_MGS!$A$6:$AN$238,39,FALSE)</f>
        <v>200.00000000000003</v>
      </c>
      <c r="AL563" s="44">
        <f>IF(J563="demais municípios",VLOOKUP(D563,[1]apoio_Preços_MGS!$A$6:$AN$238,39,FALSE),0)</f>
        <v>200.00000000000003</v>
      </c>
      <c r="AM563" s="44">
        <v>0</v>
      </c>
      <c r="AN563" s="45">
        <f t="shared" si="295"/>
        <v>600.00000000000011</v>
      </c>
      <c r="AO563" s="44">
        <f>VLOOKUP(D563,[1]apoio_Preços_MGS!$A$6:$AN$238,40,FALSE)</f>
        <v>549.99</v>
      </c>
      <c r="AP563" s="44">
        <f>IF(J563="demais municípios",VLOOKUP(D563,[1]apoio_Preços_MGS!$A$6:$AN$238,40,FALSE),0)</f>
        <v>549.99</v>
      </c>
      <c r="AQ563" s="44">
        <v>0</v>
      </c>
      <c r="AR563" s="45">
        <f t="shared" si="296"/>
        <v>1649.97</v>
      </c>
      <c r="AS563" s="45">
        <f t="shared" si="277"/>
        <v>2249.9700000000003</v>
      </c>
      <c r="AT563" s="45">
        <f t="shared" si="280"/>
        <v>134998.20000000001</v>
      </c>
      <c r="AU563" s="62"/>
      <c r="AV563" s="46"/>
      <c r="AW563" s="47"/>
      <c r="AX563" s="48"/>
      <c r="AY563" s="49"/>
      <c r="BA563" s="48"/>
    </row>
    <row r="564" spans="1:53" ht="19.5" customHeight="1" x14ac:dyDescent="0.25">
      <c r="A564" s="33" t="str">
        <f t="shared" si="278"/>
        <v>64041440,035</v>
      </c>
      <c r="B564" s="33" t="str">
        <f t="shared" si="279"/>
        <v>2140,035</v>
      </c>
      <c r="C564" s="34" t="str">
        <f>VLOOKUP(D564,[1]apoio_Preços_MGS!$A$6:$B$238,2,FALSE)</f>
        <v>RECEPCIONISTA</v>
      </c>
      <c r="D564" s="35">
        <v>214</v>
      </c>
      <c r="E564" s="33" t="str">
        <f>VLOOKUP(D564,[1]apoio_Preços_MGS!$A$6:$F$238,6,FALSE)</f>
        <v>RECEPCIONISTA - 12x36 DIURNO - 44H</v>
      </c>
      <c r="F564" s="36">
        <f>IFERROR(VLOOKUP(D564,'[1]apoio_cód catmas'!$B$2:$C$863,2,FALSE),0)</f>
        <v>64041</v>
      </c>
      <c r="G564" s="33" t="str">
        <f>IF(H564="N/A",VLOOKUP(F564&amp;40,'[1]apoio_cód catmas'!$A$1:$G$233,4,FALSE),VLOOKUP(F564&amp;H564,'[1]apoio_cód catmas'!$A$1:$G$233,4,FALSE))</f>
        <v>RECEPCIONISTA - 12X36 DIURNO - 44H</v>
      </c>
      <c r="H564" s="36">
        <v>44</v>
      </c>
      <c r="I564" s="37">
        <v>3.5000000000000003E-2</v>
      </c>
      <c r="J564" s="38" t="s">
        <v>46</v>
      </c>
      <c r="K564" s="39">
        <v>6</v>
      </c>
      <c r="L564" s="39">
        <f t="shared" si="265"/>
        <v>360</v>
      </c>
      <c r="M564" s="40">
        <f>VLOOKUP(D564,[1]apoio_Preços_MGS!$A$6:$AN$238,18,FALSE)</f>
        <v>3237.025661686117</v>
      </c>
      <c r="N564" s="40">
        <f>VLOOKUP(D564,[1]apoio_Preços_MGS!$A$6:$AN$238,19,FALSE)</f>
        <v>0</v>
      </c>
      <c r="O564" s="40">
        <f>VLOOKUP(D564,[1]apoio_Preços_MGS!$A$6:$AN$238,20,FALSE)</f>
        <v>0</v>
      </c>
      <c r="P564" s="40">
        <f>VLOOKUP(D564,[1]apoio_Preços_MGS!$A$6:$AN$238,21,FALSE)</f>
        <v>0</v>
      </c>
      <c r="Q564" s="40">
        <f>VLOOKUP(D564,[1]apoio_Preços_MGS!$A$6:$AN$238,22,FALSE)</f>
        <v>0</v>
      </c>
      <c r="R564" s="40">
        <f>VLOOKUP(D564,[1]apoio_Preços_MGS!$A$6:$AN$238,23,FALSE)</f>
        <v>0</v>
      </c>
      <c r="S564" s="40">
        <f>VLOOKUP(D564,[1]apoio_Preços_MGS!$A$6:$AN$238,24,FALSE)</f>
        <v>0</v>
      </c>
      <c r="T564" s="40">
        <f>VLOOKUP(D564,[1]apoio_Preços_MGS!$A$6:$AN$238,25,FALSE)</f>
        <v>4.4958689745640514</v>
      </c>
      <c r="U564" s="40">
        <f t="shared" si="273"/>
        <v>3241.521530660681</v>
      </c>
      <c r="V564" s="41">
        <v>0.81799999999999995</v>
      </c>
      <c r="W564" s="40">
        <f t="shared" si="274"/>
        <v>2651.5646120804367</v>
      </c>
      <c r="X564" s="40">
        <f>VLOOKUP(D564,[1]apoio_Preços_MGS!$A$6:$AN$238,29,FALSE)</f>
        <v>62.000833333333333</v>
      </c>
      <c r="Y564" s="40">
        <f>VLOOKUP(D564,[1]apoio_Preços_MGS!$A$6:$AN$238,30,FALSE)</f>
        <v>0</v>
      </c>
      <c r="Z564" s="40">
        <f t="shared" si="266"/>
        <v>62.000833333333333</v>
      </c>
      <c r="AA564" s="40">
        <f>VLOOKUP(D564,[1]apoio_Preços_MGS!$A$6:$AN$238,32,FALSE)</f>
        <v>6.2150892704373444</v>
      </c>
      <c r="AB564" s="40">
        <f>VLOOKUP(D564,[1]apoio_Preços_MGS!$A$6:$AN$238,33,FALSE)</f>
        <v>113.64067261146543</v>
      </c>
      <c r="AC564" s="41">
        <f>VLOOKUP(D564,[1]apoio_Preços_MGS!$A$6:$AN$238,34,FALSE)</f>
        <v>3.2562971679721289E-2</v>
      </c>
      <c r="AD564" s="40">
        <f>(U564+W564+Z564+AB564+AA564+VLOOKUP(C564,[1]apoio_Prec_Folha!$A:$S,7,FALSE))*AC564</f>
        <v>215.72764749654178</v>
      </c>
      <c r="AE564" s="42">
        <f>VLOOKUP(D564,[1]apoio_Preços_MGS!$A$6:$AN$238,36,FALSE)</f>
        <v>7.0000000000000007E-2</v>
      </c>
      <c r="AF564" s="40">
        <f>(U564+W564+Z564+AB564+AD564+AA564+VLOOKUP(C564,[1]apoio_Prec_Folha!$A:$S,7,FALSE))*AE564</f>
        <v>478.84655023011038</v>
      </c>
      <c r="AG564" s="40">
        <f t="shared" si="267"/>
        <v>6769.51</v>
      </c>
      <c r="AH564" s="43">
        <f t="shared" si="268"/>
        <v>7758.73</v>
      </c>
      <c r="AI564" s="43">
        <f t="shared" si="269"/>
        <v>46552.38</v>
      </c>
      <c r="AJ564" s="43">
        <f t="shared" si="270"/>
        <v>2793142.8</v>
      </c>
      <c r="AK564" s="44">
        <f>VLOOKUP(D564,[1]apoio_Preços_MGS!$A$6:$AN$238,39,FALSE)</f>
        <v>200.00000000000003</v>
      </c>
      <c r="AL564" s="44">
        <f>IF(J564="demais municípios",VLOOKUP(D564,[1]apoio_Preços_MGS!$A$6:$AN$238,39,FALSE),0)</f>
        <v>200.00000000000003</v>
      </c>
      <c r="AM564" s="44">
        <v>0</v>
      </c>
      <c r="AN564" s="45">
        <f t="shared" si="295"/>
        <v>1200.0000000000002</v>
      </c>
      <c r="AO564" s="44">
        <f>VLOOKUP(D564,[1]apoio_Preços_MGS!$A$6:$AN$238,40,FALSE)</f>
        <v>549.99</v>
      </c>
      <c r="AP564" s="44">
        <f>IF(J564="demais municípios",VLOOKUP(D564,[1]apoio_Preços_MGS!$A$6:$AN$238,40,FALSE),0)</f>
        <v>549.99</v>
      </c>
      <c r="AQ564" s="44">
        <v>0</v>
      </c>
      <c r="AR564" s="45">
        <f t="shared" si="296"/>
        <v>3299.94</v>
      </c>
      <c r="AS564" s="45">
        <f t="shared" si="277"/>
        <v>4499.9400000000005</v>
      </c>
      <c r="AT564" s="45">
        <f t="shared" si="280"/>
        <v>269996.40000000002</v>
      </c>
      <c r="AU564" s="62"/>
      <c r="AV564" s="46"/>
      <c r="AW564" s="47"/>
      <c r="AX564" s="48"/>
      <c r="AY564" s="49"/>
      <c r="BA564" s="48"/>
    </row>
    <row r="565" spans="1:53" ht="19.5" customHeight="1" x14ac:dyDescent="0.25">
      <c r="A565" s="33" t="str">
        <f t="shared" si="278"/>
        <v>64041440,035</v>
      </c>
      <c r="B565" s="33" t="str">
        <f t="shared" si="279"/>
        <v>2140,035</v>
      </c>
      <c r="C565" s="34" t="str">
        <f>VLOOKUP(D565,[1]apoio_Preços_MGS!$A$6:$B$238,2,FALSE)</f>
        <v>RECEPCIONISTA</v>
      </c>
      <c r="D565" s="35">
        <v>214</v>
      </c>
      <c r="E565" s="33" t="str">
        <f>VLOOKUP(D565,[1]apoio_Preços_MGS!$A$6:$F$238,6,FALSE)</f>
        <v>RECEPCIONISTA - 12x36 DIURNO - 44H</v>
      </c>
      <c r="F565" s="36">
        <f>IFERROR(VLOOKUP(D565,'[1]apoio_cód catmas'!$B$2:$C$863,2,FALSE),0)</f>
        <v>64041</v>
      </c>
      <c r="G565" s="33" t="str">
        <f>IF(H565="N/A",VLOOKUP(F565&amp;40,'[1]apoio_cód catmas'!$A$1:$G$233,4,FALSE),VLOOKUP(F565&amp;H565,'[1]apoio_cód catmas'!$A$1:$G$233,4,FALSE))</f>
        <v>RECEPCIONISTA - 12X36 DIURNO - 44H</v>
      </c>
      <c r="H565" s="36">
        <v>44</v>
      </c>
      <c r="I565" s="37">
        <v>3.5000000000000003E-2</v>
      </c>
      <c r="J565" s="38" t="s">
        <v>46</v>
      </c>
      <c r="K565" s="39">
        <v>1</v>
      </c>
      <c r="L565" s="39">
        <f>K565*54</f>
        <v>54</v>
      </c>
      <c r="M565" s="40">
        <f>VLOOKUP(D565,[1]apoio_Preços_MGS!$A$6:$AN$238,18,FALSE)</f>
        <v>3237.025661686117</v>
      </c>
      <c r="N565" s="40">
        <f>VLOOKUP(D565,[1]apoio_Preços_MGS!$A$6:$AN$238,19,FALSE)</f>
        <v>0</v>
      </c>
      <c r="O565" s="40">
        <f>VLOOKUP(D565,[1]apoio_Preços_MGS!$A$6:$AN$238,20,FALSE)</f>
        <v>0</v>
      </c>
      <c r="P565" s="40">
        <f>VLOOKUP(D565,[1]apoio_Preços_MGS!$A$6:$AN$238,21,FALSE)</f>
        <v>0</v>
      </c>
      <c r="Q565" s="40">
        <f>VLOOKUP(D565,[1]apoio_Preços_MGS!$A$6:$AN$238,22,FALSE)</f>
        <v>0</v>
      </c>
      <c r="R565" s="40">
        <f>VLOOKUP(D565,[1]apoio_Preços_MGS!$A$6:$AN$238,23,FALSE)</f>
        <v>0</v>
      </c>
      <c r="S565" s="40">
        <f>VLOOKUP(D565,[1]apoio_Preços_MGS!$A$6:$AN$238,24,FALSE)</f>
        <v>0</v>
      </c>
      <c r="T565" s="40">
        <f>VLOOKUP(D565,[1]apoio_Preços_MGS!$A$6:$AN$238,25,FALSE)</f>
        <v>4.4958689745640514</v>
      </c>
      <c r="U565" s="40">
        <f t="shared" si="273"/>
        <v>3241.521530660681</v>
      </c>
      <c r="V565" s="41">
        <v>0.81799999999999995</v>
      </c>
      <c r="W565" s="40">
        <f t="shared" si="274"/>
        <v>2651.5646120804367</v>
      </c>
      <c r="X565" s="40">
        <f>VLOOKUP(D565,[1]apoio_Preços_MGS!$A$6:$AN$238,29,FALSE)</f>
        <v>62.000833333333333</v>
      </c>
      <c r="Y565" s="40">
        <f>VLOOKUP(D565,[1]apoio_Preços_MGS!$A$6:$AN$238,30,FALSE)</f>
        <v>0</v>
      </c>
      <c r="Z565" s="40">
        <f t="shared" si="266"/>
        <v>62.000833333333333</v>
      </c>
      <c r="AA565" s="40">
        <f>VLOOKUP(D565,[1]apoio_Preços_MGS!$A$6:$AN$238,32,FALSE)</f>
        <v>6.2150892704373444</v>
      </c>
      <c r="AB565" s="40">
        <f>VLOOKUP(D565,[1]apoio_Preços_MGS!$A$6:$AN$238,33,FALSE)</f>
        <v>113.64067261146543</v>
      </c>
      <c r="AC565" s="41">
        <f>VLOOKUP(D565,[1]apoio_Preços_MGS!$A$6:$AN$238,34,FALSE)</f>
        <v>3.2562971679721289E-2</v>
      </c>
      <c r="AD565" s="40">
        <f>(U565+W565+Z565+AB565+AA565+VLOOKUP(C565,[1]apoio_Prec_Folha!$A:$S,7,FALSE))*AC565</f>
        <v>215.72764749654178</v>
      </c>
      <c r="AE565" s="42">
        <f>VLOOKUP(D565,[1]apoio_Preços_MGS!$A$6:$AN$238,36,FALSE)</f>
        <v>7.0000000000000007E-2</v>
      </c>
      <c r="AF565" s="40">
        <f>(U565+W565+Z565+AB565+AD565+AA565+VLOOKUP(C565,[1]apoio_Prec_Folha!$A:$S,7,FALSE))*AE565</f>
        <v>478.84655023011038</v>
      </c>
      <c r="AG565" s="40">
        <f t="shared" si="267"/>
        <v>6769.51</v>
      </c>
      <c r="AH565" s="43">
        <f t="shared" si="268"/>
        <v>7758.73</v>
      </c>
      <c r="AI565" s="43">
        <f t="shared" si="269"/>
        <v>7758.73</v>
      </c>
      <c r="AJ565" s="43">
        <f t="shared" si="270"/>
        <v>418971.42</v>
      </c>
      <c r="AK565" s="44">
        <f>VLOOKUP(D565,[1]apoio_Preços_MGS!$A$6:$AN$238,39,FALSE)</f>
        <v>200.00000000000003</v>
      </c>
      <c r="AL565" s="44">
        <f>IF(J565="demais municípios",VLOOKUP(D565,[1]apoio_Preços_MGS!$A$6:$AN$238,39,FALSE),0)</f>
        <v>200.00000000000003</v>
      </c>
      <c r="AM565" s="44">
        <v>0</v>
      </c>
      <c r="AN565" s="45">
        <f t="shared" si="295"/>
        <v>200.00000000000003</v>
      </c>
      <c r="AO565" s="44">
        <f>VLOOKUP(D565,[1]apoio_Preços_MGS!$A$6:$AN$238,40,FALSE)</f>
        <v>549.99</v>
      </c>
      <c r="AP565" s="44">
        <f>IF(J565="demais municípios",VLOOKUP(D565,[1]apoio_Preços_MGS!$A$6:$AN$238,40,FALSE),0)</f>
        <v>549.99</v>
      </c>
      <c r="AQ565" s="44">
        <v>0</v>
      </c>
      <c r="AR565" s="45">
        <f t="shared" si="296"/>
        <v>549.99</v>
      </c>
      <c r="AS565" s="45">
        <f t="shared" si="277"/>
        <v>749.99</v>
      </c>
      <c r="AT565" s="45">
        <f t="shared" si="280"/>
        <v>44999.4</v>
      </c>
      <c r="AU565" s="62"/>
      <c r="AV565" s="46"/>
      <c r="AW565" s="47"/>
      <c r="AX565" s="48"/>
      <c r="AY565" s="49"/>
      <c r="BA565" s="48"/>
    </row>
    <row r="566" spans="1:53" ht="19.5" customHeight="1" x14ac:dyDescent="0.25">
      <c r="A566" s="33" t="str">
        <f t="shared" si="278"/>
        <v>64041440,038</v>
      </c>
      <c r="B566" s="33" t="str">
        <f t="shared" si="279"/>
        <v>2140,038</v>
      </c>
      <c r="C566" s="34" t="str">
        <f>VLOOKUP(D566,[1]apoio_Preços_MGS!$A$6:$B$238,2,FALSE)</f>
        <v>RECEPCIONISTA</v>
      </c>
      <c r="D566" s="35">
        <v>214</v>
      </c>
      <c r="E566" s="33" t="str">
        <f>VLOOKUP(D566,[1]apoio_Preços_MGS!$A$6:$F$238,6,FALSE)</f>
        <v>RECEPCIONISTA - 12x36 DIURNO - 44H</v>
      </c>
      <c r="F566" s="36">
        <f>IFERROR(VLOOKUP(D566,'[1]apoio_cód catmas'!$B$2:$C$863,2,FALSE),0)</f>
        <v>64041</v>
      </c>
      <c r="G566" s="33" t="str">
        <f>IF(H566="N/A",VLOOKUP(F566&amp;40,'[1]apoio_cód catmas'!$A$1:$G$233,4,FALSE),VLOOKUP(F566&amp;H566,'[1]apoio_cód catmas'!$A$1:$G$233,4,FALSE))</f>
        <v>RECEPCIONISTA - 12X36 DIURNO - 44H</v>
      </c>
      <c r="H566" s="36">
        <v>44</v>
      </c>
      <c r="I566" s="37">
        <v>3.7999999999999999E-2</v>
      </c>
      <c r="J566" s="38" t="s">
        <v>46</v>
      </c>
      <c r="K566" s="39">
        <v>4</v>
      </c>
      <c r="L566" s="39">
        <f t="shared" si="265"/>
        <v>240</v>
      </c>
      <c r="M566" s="40">
        <f>VLOOKUP(D566,[1]apoio_Preços_MGS!$A$6:$AN$238,18,FALSE)</f>
        <v>3237.025661686117</v>
      </c>
      <c r="N566" s="40">
        <f>VLOOKUP(D566,[1]apoio_Preços_MGS!$A$6:$AN$238,19,FALSE)</f>
        <v>0</v>
      </c>
      <c r="O566" s="40">
        <f>VLOOKUP(D566,[1]apoio_Preços_MGS!$A$6:$AN$238,20,FALSE)</f>
        <v>0</v>
      </c>
      <c r="P566" s="40">
        <f>VLOOKUP(D566,[1]apoio_Preços_MGS!$A$6:$AN$238,21,FALSE)</f>
        <v>0</v>
      </c>
      <c r="Q566" s="40">
        <f>VLOOKUP(D566,[1]apoio_Preços_MGS!$A$6:$AN$238,22,FALSE)</f>
        <v>0</v>
      </c>
      <c r="R566" s="40">
        <f>VLOOKUP(D566,[1]apoio_Preços_MGS!$A$6:$AN$238,23,FALSE)</f>
        <v>0</v>
      </c>
      <c r="S566" s="40">
        <f>VLOOKUP(D566,[1]apoio_Preços_MGS!$A$6:$AN$238,24,FALSE)</f>
        <v>0</v>
      </c>
      <c r="T566" s="40">
        <f>VLOOKUP(D566,[1]apoio_Preços_MGS!$A$6:$AN$238,25,FALSE)</f>
        <v>4.4958689745640514</v>
      </c>
      <c r="U566" s="40">
        <f t="shared" si="273"/>
        <v>3241.521530660681</v>
      </c>
      <c r="V566" s="41">
        <v>0.81799999999999995</v>
      </c>
      <c r="W566" s="40">
        <f t="shared" si="274"/>
        <v>2651.5646120804367</v>
      </c>
      <c r="X566" s="40">
        <f>VLOOKUP(D566,[1]apoio_Preços_MGS!$A$6:$AN$238,29,FALSE)</f>
        <v>62.000833333333333</v>
      </c>
      <c r="Y566" s="40">
        <f>VLOOKUP(D566,[1]apoio_Preços_MGS!$A$6:$AN$238,30,FALSE)</f>
        <v>0</v>
      </c>
      <c r="Z566" s="40">
        <f t="shared" si="266"/>
        <v>62.000833333333333</v>
      </c>
      <c r="AA566" s="40">
        <f>VLOOKUP(D566,[1]apoio_Preços_MGS!$A$6:$AN$238,32,FALSE)</f>
        <v>6.2150892704373444</v>
      </c>
      <c r="AB566" s="40">
        <f>VLOOKUP(D566,[1]apoio_Preços_MGS!$A$6:$AN$238,33,FALSE)</f>
        <v>113.64067261146543</v>
      </c>
      <c r="AC566" s="41">
        <f>VLOOKUP(D566,[1]apoio_Preços_MGS!$A$6:$AN$238,34,FALSE)</f>
        <v>3.2562971679721289E-2</v>
      </c>
      <c r="AD566" s="40">
        <f>(U566+W566+Z566+AB566+AA566+VLOOKUP(C566,[1]apoio_Prec_Folha!$A:$S,7,FALSE))*AC566</f>
        <v>215.72764749654178</v>
      </c>
      <c r="AE566" s="42">
        <f>VLOOKUP(D566,[1]apoio_Preços_MGS!$A$6:$AN$238,36,FALSE)</f>
        <v>7.0000000000000007E-2</v>
      </c>
      <c r="AF566" s="40">
        <f>(U566+W566+Z566+AB566+AD566+AA566+VLOOKUP(C566,[1]apoio_Prec_Folha!$A:$S,7,FALSE))*AE566</f>
        <v>478.84655023011038</v>
      </c>
      <c r="AG566" s="40">
        <f t="shared" si="267"/>
        <v>6769.51</v>
      </c>
      <c r="AH566" s="43">
        <f t="shared" si="268"/>
        <v>7785.54</v>
      </c>
      <c r="AI566" s="43">
        <f t="shared" si="269"/>
        <v>31142.16</v>
      </c>
      <c r="AJ566" s="43">
        <f t="shared" si="270"/>
        <v>1868529.6</v>
      </c>
      <c r="AK566" s="44">
        <f>VLOOKUP(D566,[1]apoio_Preços_MGS!$A$6:$AN$238,39,FALSE)</f>
        <v>200.00000000000003</v>
      </c>
      <c r="AL566" s="44">
        <f>IF(J566="demais municípios",VLOOKUP(D566,[1]apoio_Preços_MGS!$A$6:$AN$238,39,FALSE),0)</f>
        <v>200.00000000000003</v>
      </c>
      <c r="AM566" s="44">
        <v>0</v>
      </c>
      <c r="AN566" s="45">
        <f t="shared" si="295"/>
        <v>800.00000000000011</v>
      </c>
      <c r="AO566" s="44">
        <f>VLOOKUP(D566,[1]apoio_Preços_MGS!$A$6:$AN$238,40,FALSE)</f>
        <v>549.99</v>
      </c>
      <c r="AP566" s="44">
        <f>IF(J566="demais municípios",VLOOKUP(D566,[1]apoio_Preços_MGS!$A$6:$AN$238,40,FALSE),0)</f>
        <v>549.99</v>
      </c>
      <c r="AQ566" s="44">
        <v>0</v>
      </c>
      <c r="AR566" s="45">
        <f t="shared" si="296"/>
        <v>2199.96</v>
      </c>
      <c r="AS566" s="45">
        <f t="shared" si="277"/>
        <v>2999.96</v>
      </c>
      <c r="AT566" s="45">
        <f t="shared" si="280"/>
        <v>179997.6</v>
      </c>
      <c r="AU566" s="62"/>
      <c r="AV566" s="46"/>
      <c r="AW566" s="47"/>
      <c r="AX566" s="48"/>
      <c r="AY566" s="49"/>
      <c r="BA566" s="48"/>
    </row>
    <row r="567" spans="1:53" ht="19.5" customHeight="1" x14ac:dyDescent="0.25">
      <c r="A567" s="33" t="str">
        <f t="shared" si="278"/>
        <v>64041440,05</v>
      </c>
      <c r="B567" s="33" t="str">
        <f t="shared" si="279"/>
        <v>2140,05</v>
      </c>
      <c r="C567" s="34" t="str">
        <f>VLOOKUP(D567,[1]apoio_Preços_MGS!$A$6:$B$238,2,FALSE)</f>
        <v>RECEPCIONISTA</v>
      </c>
      <c r="D567" s="35">
        <v>214</v>
      </c>
      <c r="E567" s="33" t="str">
        <f>VLOOKUP(D567,[1]apoio_Preços_MGS!$A$6:$F$238,6,FALSE)</f>
        <v>RECEPCIONISTA - 12x36 DIURNO - 44H</v>
      </c>
      <c r="F567" s="36">
        <f>IFERROR(VLOOKUP(D567,'[1]apoio_cód catmas'!$B$2:$C$863,2,FALSE),0)</f>
        <v>64041</v>
      </c>
      <c r="G567" s="33" t="str">
        <f>IF(H567="N/A",VLOOKUP(F567&amp;40,'[1]apoio_cód catmas'!$A$1:$G$233,4,FALSE),VLOOKUP(F567&amp;H567,'[1]apoio_cód catmas'!$A$1:$G$233,4,FALSE))</f>
        <v>RECEPCIONISTA - 12X36 DIURNO - 44H</v>
      </c>
      <c r="H567" s="36">
        <v>44</v>
      </c>
      <c r="I567" s="37">
        <v>0.05</v>
      </c>
      <c r="J567" s="38" t="s">
        <v>46</v>
      </c>
      <c r="K567" s="39">
        <v>2</v>
      </c>
      <c r="L567" s="39">
        <f>K567*56</f>
        <v>112</v>
      </c>
      <c r="M567" s="40">
        <f>VLOOKUP(D567,[1]apoio_Preços_MGS!$A$6:$AN$238,18,FALSE)</f>
        <v>3237.025661686117</v>
      </c>
      <c r="N567" s="40">
        <f>VLOOKUP(D567,[1]apoio_Preços_MGS!$A$6:$AN$238,19,FALSE)</f>
        <v>0</v>
      </c>
      <c r="O567" s="40">
        <f>VLOOKUP(D567,[1]apoio_Preços_MGS!$A$6:$AN$238,20,FALSE)</f>
        <v>0</v>
      </c>
      <c r="P567" s="40">
        <f>VLOOKUP(D567,[1]apoio_Preços_MGS!$A$6:$AN$238,21,FALSE)</f>
        <v>0</v>
      </c>
      <c r="Q567" s="40">
        <f>VLOOKUP(D567,[1]apoio_Preços_MGS!$A$6:$AN$238,22,FALSE)</f>
        <v>0</v>
      </c>
      <c r="R567" s="40">
        <f>VLOOKUP(D567,[1]apoio_Preços_MGS!$A$6:$AN$238,23,FALSE)</f>
        <v>0</v>
      </c>
      <c r="S567" s="40">
        <f>VLOOKUP(D567,[1]apoio_Preços_MGS!$A$6:$AN$238,24,FALSE)</f>
        <v>0</v>
      </c>
      <c r="T567" s="40">
        <f>VLOOKUP(D567,[1]apoio_Preços_MGS!$A$6:$AN$238,25,FALSE)</f>
        <v>4.4958689745640514</v>
      </c>
      <c r="U567" s="40">
        <f t="shared" si="273"/>
        <v>3241.521530660681</v>
      </c>
      <c r="V567" s="41">
        <v>0.81799999999999995</v>
      </c>
      <c r="W567" s="40">
        <f t="shared" si="274"/>
        <v>2651.5646120804367</v>
      </c>
      <c r="X567" s="40">
        <f>VLOOKUP(D567,[1]apoio_Preços_MGS!$A$6:$AN$238,29,FALSE)</f>
        <v>62.000833333333333</v>
      </c>
      <c r="Y567" s="40">
        <f>VLOOKUP(D567,[1]apoio_Preços_MGS!$A$6:$AN$238,30,FALSE)</f>
        <v>0</v>
      </c>
      <c r="Z567" s="40">
        <f t="shared" si="266"/>
        <v>62.000833333333333</v>
      </c>
      <c r="AA567" s="40">
        <f>VLOOKUP(D567,[1]apoio_Preços_MGS!$A$6:$AN$238,32,FALSE)</f>
        <v>6.2150892704373444</v>
      </c>
      <c r="AB567" s="40">
        <f>VLOOKUP(D567,[1]apoio_Preços_MGS!$A$6:$AN$238,33,FALSE)</f>
        <v>113.64067261146543</v>
      </c>
      <c r="AC567" s="41">
        <f>VLOOKUP(D567,[1]apoio_Preços_MGS!$A$6:$AN$238,34,FALSE)</f>
        <v>3.2562971679721289E-2</v>
      </c>
      <c r="AD567" s="40">
        <f>(U567+W567+Z567+AB567+AA567+VLOOKUP(C567,[1]apoio_Prec_Folha!$A:$S,7,FALSE))*AC567</f>
        <v>215.72764749654178</v>
      </c>
      <c r="AE567" s="42">
        <f>VLOOKUP(D567,[1]apoio_Preços_MGS!$A$6:$AN$238,36,FALSE)</f>
        <v>7.0000000000000007E-2</v>
      </c>
      <c r="AF567" s="40">
        <f>(U567+W567+Z567+AB567+AD567+AA567+VLOOKUP(C567,[1]apoio_Prec_Folha!$A:$S,7,FALSE))*AE567</f>
        <v>478.84655023011038</v>
      </c>
      <c r="AG567" s="40">
        <f t="shared" si="267"/>
        <v>6769.51</v>
      </c>
      <c r="AH567" s="43">
        <f t="shared" si="268"/>
        <v>7894.46</v>
      </c>
      <c r="AI567" s="43">
        <f t="shared" si="269"/>
        <v>15788.92</v>
      </c>
      <c r="AJ567" s="43">
        <f t="shared" si="270"/>
        <v>884179.52</v>
      </c>
      <c r="AK567" s="44">
        <f>VLOOKUP(D567,[1]apoio_Preços_MGS!$A$6:$AN$238,39,FALSE)</f>
        <v>200.00000000000003</v>
      </c>
      <c r="AL567" s="44">
        <f>IF(J567="demais municípios",VLOOKUP(D567,[1]apoio_Preços_MGS!$A$6:$AN$238,39,FALSE),0)</f>
        <v>200.00000000000003</v>
      </c>
      <c r="AM567" s="44">
        <v>0</v>
      </c>
      <c r="AN567" s="45">
        <f t="shared" si="295"/>
        <v>400.00000000000006</v>
      </c>
      <c r="AO567" s="44">
        <f>VLOOKUP(D567,[1]apoio_Preços_MGS!$A$6:$AN$238,40,FALSE)</f>
        <v>549.99</v>
      </c>
      <c r="AP567" s="44">
        <f>IF(J567="demais municípios",VLOOKUP(D567,[1]apoio_Preços_MGS!$A$6:$AN$238,40,FALSE),0)</f>
        <v>549.99</v>
      </c>
      <c r="AQ567" s="44">
        <v>0</v>
      </c>
      <c r="AR567" s="45">
        <f t="shared" si="296"/>
        <v>1099.98</v>
      </c>
      <c r="AS567" s="45">
        <f t="shared" si="277"/>
        <v>1499.98</v>
      </c>
      <c r="AT567" s="45">
        <f t="shared" si="280"/>
        <v>89998.8</v>
      </c>
      <c r="AU567" s="62"/>
      <c r="AV567" s="46"/>
      <c r="AW567" s="47"/>
      <c r="AX567" s="48"/>
      <c r="AY567" s="49"/>
      <c r="BA567" s="48"/>
    </row>
    <row r="568" spans="1:53" ht="19.5" customHeight="1" x14ac:dyDescent="0.25">
      <c r="A568" s="33" t="str">
        <f t="shared" si="278"/>
        <v>64041440,05</v>
      </c>
      <c r="B568" s="33" t="str">
        <f t="shared" si="279"/>
        <v>2140,05</v>
      </c>
      <c r="C568" s="34" t="str">
        <f>VLOOKUP(D568,[1]apoio_Preços_MGS!$A$6:$B$238,2,FALSE)</f>
        <v>RECEPCIONISTA</v>
      </c>
      <c r="D568" s="35">
        <v>214</v>
      </c>
      <c r="E568" s="33" t="str">
        <f>VLOOKUP(D568,[1]apoio_Preços_MGS!$A$6:$F$238,6,FALSE)</f>
        <v>RECEPCIONISTA - 12x36 DIURNO - 44H</v>
      </c>
      <c r="F568" s="36">
        <f>IFERROR(VLOOKUP(D568,'[1]apoio_cód catmas'!$B$2:$C$863,2,FALSE),0)</f>
        <v>64041</v>
      </c>
      <c r="G568" s="33" t="str">
        <f>IF(H568="N/A",VLOOKUP(F568&amp;40,'[1]apoio_cód catmas'!$A$1:$G$233,4,FALSE),VLOOKUP(F568&amp;H568,'[1]apoio_cód catmas'!$A$1:$G$233,4,FALSE))</f>
        <v>RECEPCIONISTA - 12X36 DIURNO - 44H</v>
      </c>
      <c r="H568" s="36">
        <v>44</v>
      </c>
      <c r="I568" s="37">
        <v>0.05</v>
      </c>
      <c r="J568" s="38" t="s">
        <v>46</v>
      </c>
      <c r="K568" s="39">
        <f>41-K569</f>
        <v>4</v>
      </c>
      <c r="L568" s="39">
        <f t="shared" si="265"/>
        <v>240</v>
      </c>
      <c r="M568" s="40">
        <f>VLOOKUP(D568,[1]apoio_Preços_MGS!$A$6:$AN$238,18,FALSE)</f>
        <v>3237.025661686117</v>
      </c>
      <c r="N568" s="40">
        <f>VLOOKUP(D568,[1]apoio_Preços_MGS!$A$6:$AN$238,19,FALSE)</f>
        <v>0</v>
      </c>
      <c r="O568" s="40">
        <f>VLOOKUP(D568,[1]apoio_Preços_MGS!$A$6:$AN$238,20,FALSE)</f>
        <v>0</v>
      </c>
      <c r="P568" s="40">
        <f>VLOOKUP(D568,[1]apoio_Preços_MGS!$A$6:$AN$238,21,FALSE)</f>
        <v>0</v>
      </c>
      <c r="Q568" s="40">
        <f>VLOOKUP(D568,[1]apoio_Preços_MGS!$A$6:$AN$238,22,FALSE)</f>
        <v>0</v>
      </c>
      <c r="R568" s="40">
        <f>VLOOKUP(D568,[1]apoio_Preços_MGS!$A$6:$AN$238,23,FALSE)</f>
        <v>0</v>
      </c>
      <c r="S568" s="40">
        <f>VLOOKUP(D568,[1]apoio_Preços_MGS!$A$6:$AN$238,24,FALSE)</f>
        <v>0</v>
      </c>
      <c r="T568" s="40">
        <f>VLOOKUP(D568,[1]apoio_Preços_MGS!$A$6:$AN$238,25,FALSE)</f>
        <v>4.4958689745640514</v>
      </c>
      <c r="U568" s="40">
        <f t="shared" si="273"/>
        <v>3241.521530660681</v>
      </c>
      <c r="V568" s="41">
        <v>0.81799999999999995</v>
      </c>
      <c r="W568" s="40">
        <f t="shared" si="274"/>
        <v>2651.5646120804367</v>
      </c>
      <c r="X568" s="40">
        <f>VLOOKUP(D568,[1]apoio_Preços_MGS!$A$6:$AN$238,29,FALSE)</f>
        <v>62.000833333333333</v>
      </c>
      <c r="Y568" s="40">
        <f>VLOOKUP(D568,[1]apoio_Preços_MGS!$A$6:$AN$238,30,FALSE)</f>
        <v>0</v>
      </c>
      <c r="Z568" s="40">
        <f t="shared" si="266"/>
        <v>62.000833333333333</v>
      </c>
      <c r="AA568" s="40">
        <f>VLOOKUP(D568,[1]apoio_Preços_MGS!$A$6:$AN$238,32,FALSE)</f>
        <v>6.2150892704373444</v>
      </c>
      <c r="AB568" s="40">
        <f>VLOOKUP(D568,[1]apoio_Preços_MGS!$A$6:$AN$238,33,FALSE)</f>
        <v>113.64067261146543</v>
      </c>
      <c r="AC568" s="41">
        <f>VLOOKUP(D568,[1]apoio_Preços_MGS!$A$6:$AN$238,34,FALSE)</f>
        <v>3.2562971679721289E-2</v>
      </c>
      <c r="AD568" s="40">
        <f>(U568+W568+Z568+AB568+AA568+VLOOKUP(C568,[1]apoio_Prec_Folha!$A:$S,7,FALSE))*AC568</f>
        <v>215.72764749654178</v>
      </c>
      <c r="AE568" s="42">
        <f>VLOOKUP(D568,[1]apoio_Preços_MGS!$A$6:$AN$238,36,FALSE)</f>
        <v>7.0000000000000007E-2</v>
      </c>
      <c r="AF568" s="40">
        <f>(U568+W568+Z568+AB568+AD568+AA568+VLOOKUP(C568,[1]apoio_Prec_Folha!$A:$S,7,FALSE))*AE568</f>
        <v>478.84655023011038</v>
      </c>
      <c r="AG568" s="40">
        <f t="shared" si="267"/>
        <v>6769.51</v>
      </c>
      <c r="AH568" s="43">
        <f t="shared" si="268"/>
        <v>7894.46</v>
      </c>
      <c r="AI568" s="43">
        <f t="shared" si="269"/>
        <v>31577.84</v>
      </c>
      <c r="AJ568" s="43">
        <f t="shared" si="270"/>
        <v>1894670.4</v>
      </c>
      <c r="AK568" s="44">
        <f>VLOOKUP(D568,[1]apoio_Preços_MGS!$A$6:$AN$238,39,FALSE)</f>
        <v>200.00000000000003</v>
      </c>
      <c r="AL568" s="44">
        <f>IF(J568="demais municípios",VLOOKUP(D568,[1]apoio_Preços_MGS!$A$6:$AN$238,39,FALSE),0)</f>
        <v>200.00000000000003</v>
      </c>
      <c r="AM568" s="44">
        <v>0</v>
      </c>
      <c r="AN568" s="45">
        <f t="shared" si="295"/>
        <v>800.00000000000011</v>
      </c>
      <c r="AO568" s="44">
        <f>VLOOKUP(D568,[1]apoio_Preços_MGS!$A$6:$AN$238,40,FALSE)</f>
        <v>549.99</v>
      </c>
      <c r="AP568" s="44">
        <f>IF(J568="demais municípios",VLOOKUP(D568,[1]apoio_Preços_MGS!$A$6:$AN$238,40,FALSE),0)</f>
        <v>549.99</v>
      </c>
      <c r="AQ568" s="44">
        <v>0</v>
      </c>
      <c r="AR568" s="45">
        <f t="shared" si="296"/>
        <v>2199.96</v>
      </c>
      <c r="AS568" s="45">
        <f t="shared" si="277"/>
        <v>2999.96</v>
      </c>
      <c r="AT568" s="45">
        <f t="shared" si="280"/>
        <v>179997.6</v>
      </c>
      <c r="AU568" s="62"/>
      <c r="AV568" s="46"/>
      <c r="AW568" s="47"/>
      <c r="AX568" s="48"/>
      <c r="AY568" s="49"/>
      <c r="BA568" s="48"/>
    </row>
    <row r="569" spans="1:53" ht="19.5" customHeight="1" x14ac:dyDescent="0.25">
      <c r="A569" s="33" t="str">
        <f t="shared" si="278"/>
        <v>64041440,05</v>
      </c>
      <c r="B569" s="33" t="str">
        <f t="shared" si="279"/>
        <v>2140,05</v>
      </c>
      <c r="C569" s="34" t="str">
        <f>VLOOKUP(D569,[1]apoio_Preços_MGS!$A$6:$B$238,2,FALSE)</f>
        <v>RECEPCIONISTA</v>
      </c>
      <c r="D569" s="35">
        <v>214</v>
      </c>
      <c r="E569" s="33" t="str">
        <f>VLOOKUP(D569,[1]apoio_Preços_MGS!$A$6:$F$238,6,FALSE)</f>
        <v>RECEPCIONISTA - 12x36 DIURNO - 44H</v>
      </c>
      <c r="F569" s="36">
        <f>IFERROR(VLOOKUP(D569,'[1]apoio_cód catmas'!$B$2:$C$863,2,FALSE),0)</f>
        <v>64041</v>
      </c>
      <c r="G569" s="33" t="str">
        <f>IF(H569="N/A",VLOOKUP(F569&amp;40,'[1]apoio_cód catmas'!$A$1:$G$233,4,FALSE),VLOOKUP(F569&amp;H569,'[1]apoio_cód catmas'!$A$1:$G$233,4,FALSE))</f>
        <v>RECEPCIONISTA - 12X36 DIURNO - 44H</v>
      </c>
      <c r="H569" s="36">
        <v>44</v>
      </c>
      <c r="I569" s="37">
        <v>0.05</v>
      </c>
      <c r="J569" s="38" t="s">
        <v>47</v>
      </c>
      <c r="K569" s="39">
        <v>37</v>
      </c>
      <c r="L569" s="39">
        <f t="shared" si="265"/>
        <v>2220</v>
      </c>
      <c r="M569" s="40">
        <f>VLOOKUP(D569,[1]apoio_Preços_MGS!$A$6:$AN$238,18,FALSE)</f>
        <v>3237.025661686117</v>
      </c>
      <c r="N569" s="40">
        <f>VLOOKUP(D569,[1]apoio_Preços_MGS!$A$6:$AN$238,19,FALSE)</f>
        <v>0</v>
      </c>
      <c r="O569" s="40">
        <f>VLOOKUP(D569,[1]apoio_Preços_MGS!$A$6:$AN$238,20,FALSE)</f>
        <v>0</v>
      </c>
      <c r="P569" s="40">
        <f>VLOOKUP(D569,[1]apoio_Preços_MGS!$A$6:$AN$238,21,FALSE)</f>
        <v>0</v>
      </c>
      <c r="Q569" s="40">
        <f>VLOOKUP(D569,[1]apoio_Preços_MGS!$A$6:$AN$238,22,FALSE)</f>
        <v>0</v>
      </c>
      <c r="R569" s="40">
        <f>VLOOKUP(D569,[1]apoio_Preços_MGS!$A$6:$AN$238,23,FALSE)</f>
        <v>0</v>
      </c>
      <c r="S569" s="40">
        <f>VLOOKUP(D569,[1]apoio_Preços_MGS!$A$6:$AN$238,24,FALSE)</f>
        <v>0</v>
      </c>
      <c r="T569" s="40">
        <f>VLOOKUP(D569,[1]apoio_Preços_MGS!$A$6:$AN$238,25,FALSE)</f>
        <v>4.4958689745640514</v>
      </c>
      <c r="U569" s="40">
        <f t="shared" si="273"/>
        <v>3241.521530660681</v>
      </c>
      <c r="V569" s="41">
        <v>0.81799999999999995</v>
      </c>
      <c r="W569" s="40">
        <f t="shared" si="274"/>
        <v>2651.5646120804367</v>
      </c>
      <c r="X569" s="40">
        <f>VLOOKUP(D569,[1]apoio_Preços_MGS!$A$6:$AN$238,29,FALSE)</f>
        <v>62.000833333333333</v>
      </c>
      <c r="Y569" s="40">
        <f>VLOOKUP(D569,[1]apoio_Preços_MGS!$A$6:$AN$238,30,FALSE)</f>
        <v>0</v>
      </c>
      <c r="Z569" s="40">
        <f t="shared" si="266"/>
        <v>62.000833333333333</v>
      </c>
      <c r="AA569" s="40">
        <f>VLOOKUP(D569,[1]apoio_Preços_MGS!$A$6:$AN$238,32,FALSE)</f>
        <v>6.2150892704373444</v>
      </c>
      <c r="AB569" s="40">
        <f>VLOOKUP(D569,[1]apoio_Preços_MGS!$A$6:$AN$238,33,FALSE)</f>
        <v>113.64067261146543</v>
      </c>
      <c r="AC569" s="41">
        <f>VLOOKUP(D569,[1]apoio_Preços_MGS!$A$6:$AN$238,34,FALSE)</f>
        <v>3.2562971679721289E-2</v>
      </c>
      <c r="AD569" s="40">
        <f>(U569+W569+Z569+AB569+AA569+VLOOKUP(C569,[1]apoio_Prec_Folha!$A:$S,7,FALSE))*AC569</f>
        <v>215.72764749654178</v>
      </c>
      <c r="AE569" s="42">
        <f>VLOOKUP(D569,[1]apoio_Preços_MGS!$A$6:$AN$238,36,FALSE)</f>
        <v>7.0000000000000007E-2</v>
      </c>
      <c r="AF569" s="40">
        <f>(U569+W569+Z569+AB569+AD569+AA569+VLOOKUP(C569,[1]apoio_Prec_Folha!$A:$S,7,FALSE))*AE569</f>
        <v>478.84655023011038</v>
      </c>
      <c r="AG569" s="40">
        <f t="shared" si="267"/>
        <v>6769.51</v>
      </c>
      <c r="AH569" s="43">
        <f t="shared" si="268"/>
        <v>7894.46</v>
      </c>
      <c r="AI569" s="43">
        <f t="shared" si="269"/>
        <v>292095.02</v>
      </c>
      <c r="AJ569" s="43">
        <f t="shared" si="270"/>
        <v>17525701.199999999</v>
      </c>
      <c r="AK569" s="44">
        <f>VLOOKUP(D569,[1]apoio_Preços_MGS!$A$6:$AN$238,39,FALSE)</f>
        <v>200.00000000000003</v>
      </c>
      <c r="AL569" s="44">
        <f>IF(J569="demais municípios",VLOOKUP(D569,[1]apoio_Preços_MGS!$A$6:$AN$238,39,FALSE),0)</f>
        <v>0</v>
      </c>
      <c r="AM569" s="44">
        <f>TRUNC(ROUND(($I569)/(1-($I569)),5)*VLOOKUP(D569,[1]apoio_Preços_MGS!$A$6:$AN$238,39,FALSE)+VLOOKUP(D569,[1]apoio_Preços_MGS!$A$6:$AN$238,39,FALSE),2)</f>
        <v>210.52</v>
      </c>
      <c r="AN569" s="45">
        <f t="shared" si="281"/>
        <v>7789.2400000000007</v>
      </c>
      <c r="AO569" s="44">
        <f>VLOOKUP(D569,[1]apoio_Preços_MGS!$A$6:$AN$238,40,FALSE)</f>
        <v>549.99</v>
      </c>
      <c r="AP569" s="44">
        <f>IF(J569="demais municípios",VLOOKUP(D569,[1]apoio_Preços_MGS!$A$6:$AN$238,40,FALSE),0)</f>
        <v>0</v>
      </c>
      <c r="AQ569" s="44">
        <f>TRUNC(ROUND(($I569)/(1-($I569)),5)*VLOOKUP(D569,[1]apoio_Preços_MGS!$A$6:$AN$238,40,FALSE)+VLOOKUP(D569,[1]apoio_Preços_MGS!$A$6:$AN$238,40,FALSE),2)</f>
        <v>578.92999999999995</v>
      </c>
      <c r="AR569" s="45">
        <f t="shared" si="282"/>
        <v>21420.41</v>
      </c>
      <c r="AS569" s="45">
        <f t="shared" si="277"/>
        <v>29209.65</v>
      </c>
      <c r="AT569" s="45">
        <f t="shared" si="280"/>
        <v>1752579</v>
      </c>
      <c r="AU569" s="62"/>
      <c r="AV569" s="46"/>
      <c r="AW569" s="47"/>
      <c r="AX569" s="48"/>
      <c r="AY569" s="49"/>
      <c r="BA569" s="48"/>
    </row>
    <row r="570" spans="1:53" ht="19.5" customHeight="1" x14ac:dyDescent="0.25">
      <c r="A570" s="33" t="str">
        <f t="shared" si="278"/>
        <v>64050440,02</v>
      </c>
      <c r="B570" s="33" t="str">
        <f t="shared" si="279"/>
        <v>2150,02</v>
      </c>
      <c r="C570" s="34" t="str">
        <f>VLOOKUP(D570,[1]apoio_Preços_MGS!$A$6:$B$238,2,FALSE)</f>
        <v>RECEPCIONISTA</v>
      </c>
      <c r="D570" s="35">
        <v>215</v>
      </c>
      <c r="E570" s="33" t="str">
        <f>VLOOKUP(D570,[1]apoio_Preços_MGS!$A$6:$F$238,6,FALSE)</f>
        <v>RECEPCIONISTA - 12x36 NOTURNO - 44H</v>
      </c>
      <c r="F570" s="36">
        <f>IFERROR(VLOOKUP(D570,'[1]apoio_cód catmas'!$B$2:$C$863,2,FALSE),0)</f>
        <v>64050</v>
      </c>
      <c r="G570" s="33" t="str">
        <f>IF(H570="N/A",VLOOKUP(F570&amp;40,'[1]apoio_cód catmas'!$A$1:$G$233,4,FALSE),VLOOKUP(F570&amp;H570,'[1]apoio_cód catmas'!$A$1:$G$233,4,FALSE))</f>
        <v>RECEPCIONISTA - 12X36 NOTURNO - 44H</v>
      </c>
      <c r="H570" s="36">
        <v>44</v>
      </c>
      <c r="I570" s="37">
        <v>0.02</v>
      </c>
      <c r="J570" s="38" t="s">
        <v>46</v>
      </c>
      <c r="K570" s="39">
        <v>7</v>
      </c>
      <c r="L570" s="39">
        <f t="shared" si="265"/>
        <v>420</v>
      </c>
      <c r="M570" s="40">
        <f>VLOOKUP(D570,[1]apoio_Preços_MGS!$A$6:$AN$238,18,FALSE)</f>
        <v>3237.025661686117</v>
      </c>
      <c r="N570" s="40">
        <f>VLOOKUP(D570,[1]apoio_Preços_MGS!$A$6:$AN$238,19,FALSE)</f>
        <v>0</v>
      </c>
      <c r="O570" s="40">
        <f>VLOOKUP(D570,[1]apoio_Preços_MGS!$A$6:$AN$238,20,FALSE)</f>
        <v>754.09574394070887</v>
      </c>
      <c r="P570" s="40">
        <f>VLOOKUP(D570,[1]apoio_Preços_MGS!$A$6:$AN$238,21,FALSE)</f>
        <v>16.460752342193665</v>
      </c>
      <c r="Q570" s="40">
        <f>VLOOKUP(D570,[1]apoio_Preços_MGS!$A$6:$AN$238,22,FALSE)</f>
        <v>61.727802764879847</v>
      </c>
      <c r="R570" s="40">
        <f>VLOOKUP(D570,[1]apoio_Preços_MGS!$A$6:$AN$238,23,FALSE)</f>
        <v>0</v>
      </c>
      <c r="S570" s="40">
        <f>VLOOKUP(D570,[1]apoio_Preços_MGS!$A$6:$AN$238,24,FALSE)</f>
        <v>0</v>
      </c>
      <c r="T570" s="40">
        <f>VLOOKUP(D570,[1]apoio_Preços_MGS!$A$6:$AN$238,25,FALSE)</f>
        <v>4.4958689745640514</v>
      </c>
      <c r="U570" s="40">
        <f t="shared" si="273"/>
        <v>4073.8058297084635</v>
      </c>
      <c r="V570" s="41">
        <v>0.81799999999999995</v>
      </c>
      <c r="W570" s="40">
        <f t="shared" si="274"/>
        <v>3332.3731687015229</v>
      </c>
      <c r="X570" s="40">
        <f>VLOOKUP(D570,[1]apoio_Preços_MGS!$A$6:$AN$238,29,FALSE)</f>
        <v>62.000833333333333</v>
      </c>
      <c r="Y570" s="40">
        <f>VLOOKUP(D570,[1]apoio_Preços_MGS!$A$6:$AN$238,30,FALSE)</f>
        <v>0</v>
      </c>
      <c r="Z570" s="40">
        <f t="shared" si="266"/>
        <v>62.000833333333333</v>
      </c>
      <c r="AA570" s="40">
        <f>VLOOKUP(D570,[1]apoio_Preços_MGS!$A$6:$AN$238,32,FALSE)</f>
        <v>6.2150892704373444</v>
      </c>
      <c r="AB570" s="40">
        <f>VLOOKUP(D570,[1]apoio_Preços_MGS!$A$6:$AN$238,33,FALSE)</f>
        <v>113.64067261146543</v>
      </c>
      <c r="AC570" s="41">
        <f>VLOOKUP(D570,[1]apoio_Preços_MGS!$A$6:$AN$238,34,FALSE)</f>
        <v>3.2562971679721289E-2</v>
      </c>
      <c r="AD570" s="40">
        <f>(U570+W570+Z570+AB570+AA570+VLOOKUP(C570,[1]apoio_Prec_Folha!$A:$S,7,FALSE))*AC570</f>
        <v>264.99844730447575</v>
      </c>
      <c r="AE570" s="42">
        <f>VLOOKUP(D570,[1]apoio_Preços_MGS!$A$6:$AN$238,36,FALSE)</f>
        <v>7.0000000000000007E-2</v>
      </c>
      <c r="AF570" s="40">
        <f>(U570+W570+Z570+AB570+AD570+AA570+VLOOKUP(C570,[1]apoio_Prec_Folha!$A:$S,7,FALSE))*AE570</f>
        <v>588.21200611348661</v>
      </c>
      <c r="AG570" s="40">
        <f t="shared" si="267"/>
        <v>8441.24</v>
      </c>
      <c r="AH570" s="43">
        <f t="shared" si="268"/>
        <v>9511.25</v>
      </c>
      <c r="AI570" s="43">
        <f t="shared" si="269"/>
        <v>66578.75</v>
      </c>
      <c r="AJ570" s="43">
        <f t="shared" si="270"/>
        <v>3994725</v>
      </c>
      <c r="AK570" s="44">
        <f>VLOOKUP(D570,[1]apoio_Preços_MGS!$A$6:$AN$238,39,FALSE)</f>
        <v>200.00000000000003</v>
      </c>
      <c r="AL570" s="44">
        <f>IF(J570="demais municípios",VLOOKUP(D570,[1]apoio_Preços_MGS!$A$6:$AN$238,39,FALSE),0)</f>
        <v>200.00000000000003</v>
      </c>
      <c r="AM570" s="44">
        <v>0</v>
      </c>
      <c r="AN570" s="45">
        <f t="shared" ref="AN570:AN574" si="297">AK570*K570</f>
        <v>1400.0000000000002</v>
      </c>
      <c r="AO570" s="44">
        <f>VLOOKUP(D570,[1]apoio_Preços_MGS!$A$6:$AN$238,40,FALSE)</f>
        <v>549.99</v>
      </c>
      <c r="AP570" s="44">
        <f>IF(J570="demais municípios",VLOOKUP(D570,[1]apoio_Preços_MGS!$A$6:$AN$238,40,FALSE),0)</f>
        <v>549.99</v>
      </c>
      <c r="AQ570" s="44">
        <v>0</v>
      </c>
      <c r="AR570" s="45">
        <f t="shared" ref="AR570:AR574" si="298">AO570*K570</f>
        <v>3849.9300000000003</v>
      </c>
      <c r="AS570" s="45">
        <f t="shared" si="277"/>
        <v>5249.93</v>
      </c>
      <c r="AT570" s="45">
        <f t="shared" si="280"/>
        <v>314995.80000000005</v>
      </c>
      <c r="AU570" s="62"/>
      <c r="AV570" s="46"/>
      <c r="AW570" s="47"/>
      <c r="AX570" s="48"/>
      <c r="AY570" s="49"/>
      <c r="BA570" s="48"/>
    </row>
    <row r="571" spans="1:53" ht="19.5" customHeight="1" x14ac:dyDescent="0.25">
      <c r="A571" s="33" t="str">
        <f t="shared" si="278"/>
        <v>64050440,03</v>
      </c>
      <c r="B571" s="33" t="str">
        <f t="shared" si="279"/>
        <v>2150,03</v>
      </c>
      <c r="C571" s="34" t="str">
        <f>VLOOKUP(D571,[1]apoio_Preços_MGS!$A$6:$B$238,2,FALSE)</f>
        <v>RECEPCIONISTA</v>
      </c>
      <c r="D571" s="35">
        <v>215</v>
      </c>
      <c r="E571" s="33" t="str">
        <f>VLOOKUP(D571,[1]apoio_Preços_MGS!$A$6:$F$238,6,FALSE)</f>
        <v>RECEPCIONISTA - 12x36 NOTURNO - 44H</v>
      </c>
      <c r="F571" s="36">
        <f>IFERROR(VLOOKUP(D571,'[1]apoio_cód catmas'!$B$2:$C$863,2,FALSE),0)</f>
        <v>64050</v>
      </c>
      <c r="G571" s="33" t="str">
        <f>IF(H571="N/A",VLOOKUP(F571&amp;40,'[1]apoio_cód catmas'!$A$1:$G$233,4,FALSE),VLOOKUP(F571&amp;H571,'[1]apoio_cód catmas'!$A$1:$G$233,4,FALSE))</f>
        <v>RECEPCIONISTA - 12X36 NOTURNO - 44H</v>
      </c>
      <c r="H571" s="36">
        <v>44</v>
      </c>
      <c r="I571" s="37">
        <v>0.03</v>
      </c>
      <c r="J571" s="38" t="s">
        <v>46</v>
      </c>
      <c r="K571" s="39">
        <f>12-2</f>
        <v>10</v>
      </c>
      <c r="L571" s="39">
        <f t="shared" si="265"/>
        <v>600</v>
      </c>
      <c r="M571" s="40">
        <f>VLOOKUP(D571,[1]apoio_Preços_MGS!$A$6:$AN$238,18,FALSE)</f>
        <v>3237.025661686117</v>
      </c>
      <c r="N571" s="40">
        <f>VLOOKUP(D571,[1]apoio_Preços_MGS!$A$6:$AN$238,19,FALSE)</f>
        <v>0</v>
      </c>
      <c r="O571" s="40">
        <f>VLOOKUP(D571,[1]apoio_Preços_MGS!$A$6:$AN$238,20,FALSE)</f>
        <v>754.09574394070887</v>
      </c>
      <c r="P571" s="40">
        <f>VLOOKUP(D571,[1]apoio_Preços_MGS!$A$6:$AN$238,21,FALSE)</f>
        <v>16.460752342193665</v>
      </c>
      <c r="Q571" s="40">
        <f>VLOOKUP(D571,[1]apoio_Preços_MGS!$A$6:$AN$238,22,FALSE)</f>
        <v>61.727802764879847</v>
      </c>
      <c r="R571" s="40">
        <f>VLOOKUP(D571,[1]apoio_Preços_MGS!$A$6:$AN$238,23,FALSE)</f>
        <v>0</v>
      </c>
      <c r="S571" s="40">
        <f>VLOOKUP(D571,[1]apoio_Preços_MGS!$A$6:$AN$238,24,FALSE)</f>
        <v>0</v>
      </c>
      <c r="T571" s="40">
        <f>VLOOKUP(D571,[1]apoio_Preços_MGS!$A$6:$AN$238,25,FALSE)</f>
        <v>4.4958689745640514</v>
      </c>
      <c r="U571" s="40">
        <f t="shared" si="273"/>
        <v>4073.8058297084635</v>
      </c>
      <c r="V571" s="41">
        <v>0.81799999999999995</v>
      </c>
      <c r="W571" s="40">
        <f t="shared" si="274"/>
        <v>3332.3731687015229</v>
      </c>
      <c r="X571" s="40">
        <f>VLOOKUP(D571,[1]apoio_Preços_MGS!$A$6:$AN$238,29,FALSE)</f>
        <v>62.000833333333333</v>
      </c>
      <c r="Y571" s="40">
        <f>VLOOKUP(D571,[1]apoio_Preços_MGS!$A$6:$AN$238,30,FALSE)</f>
        <v>0</v>
      </c>
      <c r="Z571" s="40">
        <f t="shared" si="266"/>
        <v>62.000833333333333</v>
      </c>
      <c r="AA571" s="40">
        <f>VLOOKUP(D571,[1]apoio_Preços_MGS!$A$6:$AN$238,32,FALSE)</f>
        <v>6.2150892704373444</v>
      </c>
      <c r="AB571" s="40">
        <f>VLOOKUP(D571,[1]apoio_Preços_MGS!$A$6:$AN$238,33,FALSE)</f>
        <v>113.64067261146543</v>
      </c>
      <c r="AC571" s="41">
        <f>VLOOKUP(D571,[1]apoio_Preços_MGS!$A$6:$AN$238,34,FALSE)</f>
        <v>3.2562971679721289E-2</v>
      </c>
      <c r="AD571" s="40">
        <f>(U571+W571+Z571+AB571+AA571+VLOOKUP(C571,[1]apoio_Prec_Folha!$A:$S,7,FALSE))*AC571</f>
        <v>264.99844730447575</v>
      </c>
      <c r="AE571" s="42">
        <f>VLOOKUP(D571,[1]apoio_Preços_MGS!$A$6:$AN$238,36,FALSE)</f>
        <v>7.0000000000000007E-2</v>
      </c>
      <c r="AF571" s="40">
        <f>(U571+W571+Z571+AB571+AD571+AA571+VLOOKUP(C571,[1]apoio_Prec_Folha!$A:$S,7,FALSE))*AE571</f>
        <v>588.21200611348661</v>
      </c>
      <c r="AG571" s="40">
        <f t="shared" si="267"/>
        <v>8441.24</v>
      </c>
      <c r="AH571" s="43">
        <f t="shared" si="268"/>
        <v>9619.6299999999992</v>
      </c>
      <c r="AI571" s="43">
        <f t="shared" si="269"/>
        <v>96196.299999999988</v>
      </c>
      <c r="AJ571" s="43">
        <f t="shared" si="270"/>
        <v>5771777.9999999991</v>
      </c>
      <c r="AK571" s="44">
        <f>VLOOKUP(D571,[1]apoio_Preços_MGS!$A$6:$AN$238,39,FALSE)</f>
        <v>200.00000000000003</v>
      </c>
      <c r="AL571" s="44">
        <f>IF(J571="demais municípios",VLOOKUP(D571,[1]apoio_Preços_MGS!$A$6:$AN$238,39,FALSE),0)</f>
        <v>200.00000000000003</v>
      </c>
      <c r="AM571" s="44">
        <v>0</v>
      </c>
      <c r="AN571" s="45">
        <f t="shared" si="297"/>
        <v>2000.0000000000002</v>
      </c>
      <c r="AO571" s="44">
        <f>VLOOKUP(D571,[1]apoio_Preços_MGS!$A$6:$AN$238,40,FALSE)</f>
        <v>549.99</v>
      </c>
      <c r="AP571" s="44">
        <f>IF(J571="demais municípios",VLOOKUP(D571,[1]apoio_Preços_MGS!$A$6:$AN$238,40,FALSE),0)</f>
        <v>549.99</v>
      </c>
      <c r="AQ571" s="44">
        <v>0</v>
      </c>
      <c r="AR571" s="45">
        <f t="shared" si="298"/>
        <v>5499.9</v>
      </c>
      <c r="AS571" s="45">
        <f t="shared" si="277"/>
        <v>7499.9</v>
      </c>
      <c r="AT571" s="45">
        <f t="shared" si="280"/>
        <v>449994</v>
      </c>
      <c r="AU571" s="62"/>
      <c r="AV571" s="46"/>
      <c r="AW571" s="47"/>
      <c r="AX571" s="48"/>
      <c r="AY571" s="49"/>
      <c r="BA571" s="48"/>
    </row>
    <row r="572" spans="1:53" ht="19.5" customHeight="1" x14ac:dyDescent="0.25">
      <c r="A572" s="33" t="str">
        <f t="shared" si="278"/>
        <v>64050440,035</v>
      </c>
      <c r="B572" s="33" t="str">
        <f t="shared" si="279"/>
        <v>2150,035</v>
      </c>
      <c r="C572" s="34" t="str">
        <f>VLOOKUP(D572,[1]apoio_Preços_MGS!$A$6:$B$238,2,FALSE)</f>
        <v>RECEPCIONISTA</v>
      </c>
      <c r="D572" s="35">
        <v>215</v>
      </c>
      <c r="E572" s="33" t="str">
        <f>VLOOKUP(D572,[1]apoio_Preços_MGS!$A$6:$F$238,6,FALSE)</f>
        <v>RECEPCIONISTA - 12x36 NOTURNO - 44H</v>
      </c>
      <c r="F572" s="36">
        <f>IFERROR(VLOOKUP(D572,'[1]apoio_cód catmas'!$B$2:$C$863,2,FALSE),0)</f>
        <v>64050</v>
      </c>
      <c r="G572" s="33" t="str">
        <f>IF(H572="N/A",VLOOKUP(F572&amp;40,'[1]apoio_cód catmas'!$A$1:$G$233,4,FALSE),VLOOKUP(F572&amp;H572,'[1]apoio_cód catmas'!$A$1:$G$233,4,FALSE))</f>
        <v>RECEPCIONISTA - 12X36 NOTURNO - 44H</v>
      </c>
      <c r="H572" s="36">
        <v>44</v>
      </c>
      <c r="I572" s="37">
        <v>3.5000000000000003E-2</v>
      </c>
      <c r="J572" s="38" t="s">
        <v>46</v>
      </c>
      <c r="K572" s="39">
        <v>6</v>
      </c>
      <c r="L572" s="39">
        <f>K572*56</f>
        <v>336</v>
      </c>
      <c r="M572" s="40">
        <f>VLOOKUP(D572,[1]apoio_Preços_MGS!$A$6:$AN$238,18,FALSE)</f>
        <v>3237.025661686117</v>
      </c>
      <c r="N572" s="40">
        <f>VLOOKUP(D572,[1]apoio_Preços_MGS!$A$6:$AN$238,19,FALSE)</f>
        <v>0</v>
      </c>
      <c r="O572" s="40">
        <f>VLOOKUP(D572,[1]apoio_Preços_MGS!$A$6:$AN$238,20,FALSE)</f>
        <v>754.09574394070887</v>
      </c>
      <c r="P572" s="40">
        <f>VLOOKUP(D572,[1]apoio_Preços_MGS!$A$6:$AN$238,21,FALSE)</f>
        <v>16.460752342193665</v>
      </c>
      <c r="Q572" s="40">
        <f>VLOOKUP(D572,[1]apoio_Preços_MGS!$A$6:$AN$238,22,FALSE)</f>
        <v>61.727802764879847</v>
      </c>
      <c r="R572" s="40">
        <f>VLOOKUP(D572,[1]apoio_Preços_MGS!$A$6:$AN$238,23,FALSE)</f>
        <v>0</v>
      </c>
      <c r="S572" s="40">
        <f>VLOOKUP(D572,[1]apoio_Preços_MGS!$A$6:$AN$238,24,FALSE)</f>
        <v>0</v>
      </c>
      <c r="T572" s="40">
        <f>VLOOKUP(D572,[1]apoio_Preços_MGS!$A$6:$AN$238,25,FALSE)</f>
        <v>4.4958689745640514</v>
      </c>
      <c r="U572" s="40">
        <f t="shared" si="273"/>
        <v>4073.8058297084635</v>
      </c>
      <c r="V572" s="41">
        <v>0.81799999999999995</v>
      </c>
      <c r="W572" s="40">
        <f t="shared" si="274"/>
        <v>3332.3731687015229</v>
      </c>
      <c r="X572" s="40">
        <f>VLOOKUP(D572,[1]apoio_Preços_MGS!$A$6:$AN$238,29,FALSE)</f>
        <v>62.000833333333333</v>
      </c>
      <c r="Y572" s="40">
        <f>VLOOKUP(D572,[1]apoio_Preços_MGS!$A$6:$AN$238,30,FALSE)</f>
        <v>0</v>
      </c>
      <c r="Z572" s="40">
        <f t="shared" si="266"/>
        <v>62.000833333333333</v>
      </c>
      <c r="AA572" s="40">
        <f>VLOOKUP(D572,[1]apoio_Preços_MGS!$A$6:$AN$238,32,FALSE)</f>
        <v>6.2150892704373444</v>
      </c>
      <c r="AB572" s="40">
        <f>VLOOKUP(D572,[1]apoio_Preços_MGS!$A$6:$AN$238,33,FALSE)</f>
        <v>113.64067261146543</v>
      </c>
      <c r="AC572" s="41">
        <f>VLOOKUP(D572,[1]apoio_Preços_MGS!$A$6:$AN$238,34,FALSE)</f>
        <v>3.2562971679721289E-2</v>
      </c>
      <c r="AD572" s="40">
        <f>(U572+W572+Z572+AB572+AA572+VLOOKUP(C572,[1]apoio_Prec_Folha!$A:$S,7,FALSE))*AC572</f>
        <v>264.99844730447575</v>
      </c>
      <c r="AE572" s="42">
        <f>VLOOKUP(D572,[1]apoio_Preços_MGS!$A$6:$AN$238,36,FALSE)</f>
        <v>7.0000000000000007E-2</v>
      </c>
      <c r="AF572" s="40">
        <f>(U572+W572+Z572+AB572+AD572+AA572+VLOOKUP(C572,[1]apoio_Prec_Folha!$A:$S,7,FALSE))*AE572</f>
        <v>588.21200611348661</v>
      </c>
      <c r="AG572" s="40">
        <f t="shared" si="267"/>
        <v>8441.24</v>
      </c>
      <c r="AH572" s="43">
        <f t="shared" si="268"/>
        <v>9674.75</v>
      </c>
      <c r="AI572" s="43">
        <f t="shared" si="269"/>
        <v>58048.5</v>
      </c>
      <c r="AJ572" s="43">
        <f t="shared" si="270"/>
        <v>3250716</v>
      </c>
      <c r="AK572" s="44">
        <f>VLOOKUP(D572,[1]apoio_Preços_MGS!$A$6:$AN$238,39,FALSE)</f>
        <v>200.00000000000003</v>
      </c>
      <c r="AL572" s="44">
        <f>IF(J572="demais municípios",VLOOKUP(D572,[1]apoio_Preços_MGS!$A$6:$AN$238,39,FALSE),0)</f>
        <v>200.00000000000003</v>
      </c>
      <c r="AM572" s="44">
        <v>0</v>
      </c>
      <c r="AN572" s="45">
        <f t="shared" si="297"/>
        <v>1200.0000000000002</v>
      </c>
      <c r="AO572" s="44">
        <f>VLOOKUP(D572,[1]apoio_Preços_MGS!$A$6:$AN$238,40,FALSE)</f>
        <v>549.99</v>
      </c>
      <c r="AP572" s="44">
        <f>IF(J572="demais municípios",VLOOKUP(D572,[1]apoio_Preços_MGS!$A$6:$AN$238,40,FALSE),0)</f>
        <v>549.99</v>
      </c>
      <c r="AQ572" s="44">
        <v>0</v>
      </c>
      <c r="AR572" s="45">
        <f t="shared" si="298"/>
        <v>3299.94</v>
      </c>
      <c r="AS572" s="45">
        <f t="shared" si="277"/>
        <v>4499.9400000000005</v>
      </c>
      <c r="AT572" s="45">
        <f t="shared" si="280"/>
        <v>269996.40000000002</v>
      </c>
      <c r="AU572" s="62"/>
      <c r="AV572" s="46"/>
      <c r="AW572" s="47"/>
      <c r="AX572" s="48"/>
      <c r="AY572" s="49"/>
      <c r="BA572" s="48"/>
    </row>
    <row r="573" spans="1:53" ht="19.5" customHeight="1" x14ac:dyDescent="0.25">
      <c r="A573" s="33" t="str">
        <f t="shared" si="278"/>
        <v>64050440,05</v>
      </c>
      <c r="B573" s="33" t="str">
        <f t="shared" si="279"/>
        <v>2150,05</v>
      </c>
      <c r="C573" s="34" t="str">
        <f>VLOOKUP(D573,[1]apoio_Preços_MGS!$A$6:$B$238,2,FALSE)</f>
        <v>RECEPCIONISTA</v>
      </c>
      <c r="D573" s="35">
        <v>215</v>
      </c>
      <c r="E573" s="33" t="str">
        <f>VLOOKUP(D573,[1]apoio_Preços_MGS!$A$6:$F$238,6,FALSE)</f>
        <v>RECEPCIONISTA - 12x36 NOTURNO - 44H</v>
      </c>
      <c r="F573" s="36">
        <f>IFERROR(VLOOKUP(D573,'[1]apoio_cód catmas'!$B$2:$C$863,2,FALSE),0)</f>
        <v>64050</v>
      </c>
      <c r="G573" s="33" t="str">
        <f>IF(H573="N/A",VLOOKUP(F573&amp;40,'[1]apoio_cód catmas'!$A$1:$G$233,4,FALSE),VLOOKUP(F573&amp;H573,'[1]apoio_cód catmas'!$A$1:$G$233,4,FALSE))</f>
        <v>RECEPCIONISTA - 12X36 NOTURNO - 44H</v>
      </c>
      <c r="H573" s="36">
        <v>44</v>
      </c>
      <c r="I573" s="37">
        <v>0.05</v>
      </c>
      <c r="J573" s="38" t="s">
        <v>46</v>
      </c>
      <c r="K573" s="39">
        <v>2</v>
      </c>
      <c r="L573" s="39">
        <f>K573*56</f>
        <v>112</v>
      </c>
      <c r="M573" s="40">
        <f>VLOOKUP(D573,[1]apoio_Preços_MGS!$A$6:$AN$238,18,FALSE)</f>
        <v>3237.025661686117</v>
      </c>
      <c r="N573" s="40">
        <f>VLOOKUP(D573,[1]apoio_Preços_MGS!$A$6:$AN$238,19,FALSE)</f>
        <v>0</v>
      </c>
      <c r="O573" s="40">
        <f>VLOOKUP(D573,[1]apoio_Preços_MGS!$A$6:$AN$238,20,FALSE)</f>
        <v>754.09574394070887</v>
      </c>
      <c r="P573" s="40">
        <f>VLOOKUP(D573,[1]apoio_Preços_MGS!$A$6:$AN$238,21,FALSE)</f>
        <v>16.460752342193665</v>
      </c>
      <c r="Q573" s="40">
        <f>VLOOKUP(D573,[1]apoio_Preços_MGS!$A$6:$AN$238,22,FALSE)</f>
        <v>61.727802764879847</v>
      </c>
      <c r="R573" s="40">
        <f>VLOOKUP(D573,[1]apoio_Preços_MGS!$A$6:$AN$238,23,FALSE)</f>
        <v>0</v>
      </c>
      <c r="S573" s="40">
        <f>VLOOKUP(D573,[1]apoio_Preços_MGS!$A$6:$AN$238,24,FALSE)</f>
        <v>0</v>
      </c>
      <c r="T573" s="40">
        <f>VLOOKUP(D573,[1]apoio_Preços_MGS!$A$6:$AN$238,25,FALSE)</f>
        <v>4.4958689745640514</v>
      </c>
      <c r="U573" s="40">
        <f t="shared" si="273"/>
        <v>4073.8058297084635</v>
      </c>
      <c r="V573" s="41">
        <v>0.81799999999999995</v>
      </c>
      <c r="W573" s="40">
        <f t="shared" si="274"/>
        <v>3332.3731687015229</v>
      </c>
      <c r="X573" s="40">
        <f>VLOOKUP(D573,[1]apoio_Preços_MGS!$A$6:$AN$238,29,FALSE)</f>
        <v>62.000833333333333</v>
      </c>
      <c r="Y573" s="40">
        <f>VLOOKUP(D573,[1]apoio_Preços_MGS!$A$6:$AN$238,30,FALSE)</f>
        <v>0</v>
      </c>
      <c r="Z573" s="40">
        <f t="shared" si="266"/>
        <v>62.000833333333333</v>
      </c>
      <c r="AA573" s="40">
        <f>VLOOKUP(D573,[1]apoio_Preços_MGS!$A$6:$AN$238,32,FALSE)</f>
        <v>6.2150892704373444</v>
      </c>
      <c r="AB573" s="40">
        <f>VLOOKUP(D573,[1]apoio_Preços_MGS!$A$6:$AN$238,33,FALSE)</f>
        <v>113.64067261146543</v>
      </c>
      <c r="AC573" s="41">
        <f>VLOOKUP(D573,[1]apoio_Preços_MGS!$A$6:$AN$238,34,FALSE)</f>
        <v>3.2562971679721289E-2</v>
      </c>
      <c r="AD573" s="40">
        <f>(U573+W573+Z573+AB573+AA573+VLOOKUP(C573,[1]apoio_Prec_Folha!$A:$S,7,FALSE))*AC573</f>
        <v>264.99844730447575</v>
      </c>
      <c r="AE573" s="42">
        <f>VLOOKUP(D573,[1]apoio_Preços_MGS!$A$6:$AN$238,36,FALSE)</f>
        <v>7.0000000000000007E-2</v>
      </c>
      <c r="AF573" s="40">
        <f>(U573+W573+Z573+AB573+AD573+AA573+VLOOKUP(C573,[1]apoio_Prec_Folha!$A:$S,7,FALSE))*AE573</f>
        <v>588.21200611348661</v>
      </c>
      <c r="AG573" s="40">
        <f t="shared" si="267"/>
        <v>8441.24</v>
      </c>
      <c r="AH573" s="43">
        <f t="shared" si="268"/>
        <v>9844</v>
      </c>
      <c r="AI573" s="43">
        <f t="shared" si="269"/>
        <v>19688</v>
      </c>
      <c r="AJ573" s="43">
        <f t="shared" si="270"/>
        <v>1102528</v>
      </c>
      <c r="AK573" s="44">
        <f>VLOOKUP(D573,[1]apoio_Preços_MGS!$A$6:$AN$238,39,FALSE)</f>
        <v>200.00000000000003</v>
      </c>
      <c r="AL573" s="44">
        <f>IF(J573="demais municípios",VLOOKUP(D573,[1]apoio_Preços_MGS!$A$6:$AN$238,39,FALSE),0)</f>
        <v>200.00000000000003</v>
      </c>
      <c r="AM573" s="44">
        <v>0</v>
      </c>
      <c r="AN573" s="45">
        <f t="shared" si="297"/>
        <v>400.00000000000006</v>
      </c>
      <c r="AO573" s="44">
        <f>VLOOKUP(D573,[1]apoio_Preços_MGS!$A$6:$AN$238,40,FALSE)</f>
        <v>549.99</v>
      </c>
      <c r="AP573" s="44">
        <f>IF(J573="demais municípios",VLOOKUP(D573,[1]apoio_Preços_MGS!$A$6:$AN$238,40,FALSE),0)</f>
        <v>549.99</v>
      </c>
      <c r="AQ573" s="44">
        <v>0</v>
      </c>
      <c r="AR573" s="45">
        <f t="shared" si="298"/>
        <v>1099.98</v>
      </c>
      <c r="AS573" s="45">
        <f t="shared" si="277"/>
        <v>1499.98</v>
      </c>
      <c r="AT573" s="45">
        <f t="shared" si="280"/>
        <v>89998.8</v>
      </c>
      <c r="AU573" s="62"/>
      <c r="AV573" s="46"/>
      <c r="AW573" s="47"/>
      <c r="AX573" s="48"/>
      <c r="AY573" s="49"/>
      <c r="BA573" s="48"/>
    </row>
    <row r="574" spans="1:53" ht="19.5" customHeight="1" x14ac:dyDescent="0.25">
      <c r="A574" s="33" t="str">
        <f t="shared" si="278"/>
        <v>64050440,05</v>
      </c>
      <c r="B574" s="33" t="str">
        <f t="shared" si="279"/>
        <v>2150,05</v>
      </c>
      <c r="C574" s="34" t="str">
        <f>VLOOKUP(D574,[1]apoio_Preços_MGS!$A$6:$B$238,2,FALSE)</f>
        <v>RECEPCIONISTA</v>
      </c>
      <c r="D574" s="35">
        <v>215</v>
      </c>
      <c r="E574" s="33" t="str">
        <f>VLOOKUP(D574,[1]apoio_Preços_MGS!$A$6:$F$238,6,FALSE)</f>
        <v>RECEPCIONISTA - 12x36 NOTURNO - 44H</v>
      </c>
      <c r="F574" s="36">
        <f>IFERROR(VLOOKUP(D574,'[1]apoio_cód catmas'!$B$2:$C$863,2,FALSE),0)</f>
        <v>64050</v>
      </c>
      <c r="G574" s="33" t="str">
        <f>IF(H574="N/A",VLOOKUP(F574&amp;40,'[1]apoio_cód catmas'!$A$1:$G$233,4,FALSE),VLOOKUP(F574&amp;H574,'[1]apoio_cód catmas'!$A$1:$G$233,4,FALSE))</f>
        <v>RECEPCIONISTA - 12X36 NOTURNO - 44H</v>
      </c>
      <c r="H574" s="36">
        <v>44</v>
      </c>
      <c r="I574" s="37">
        <v>0.05</v>
      </c>
      <c r="J574" s="38" t="s">
        <v>46</v>
      </c>
      <c r="K574" s="39">
        <f>16-K575</f>
        <v>2</v>
      </c>
      <c r="L574" s="39">
        <f t="shared" si="265"/>
        <v>120</v>
      </c>
      <c r="M574" s="40">
        <f>VLOOKUP(D574,[1]apoio_Preços_MGS!$A$6:$AN$238,18,FALSE)</f>
        <v>3237.025661686117</v>
      </c>
      <c r="N574" s="40">
        <f>VLOOKUP(D574,[1]apoio_Preços_MGS!$A$6:$AN$238,19,FALSE)</f>
        <v>0</v>
      </c>
      <c r="O574" s="40">
        <f>VLOOKUP(D574,[1]apoio_Preços_MGS!$A$6:$AN$238,20,FALSE)</f>
        <v>754.09574394070887</v>
      </c>
      <c r="P574" s="40">
        <f>VLOOKUP(D574,[1]apoio_Preços_MGS!$A$6:$AN$238,21,FALSE)</f>
        <v>16.460752342193665</v>
      </c>
      <c r="Q574" s="40">
        <f>VLOOKUP(D574,[1]apoio_Preços_MGS!$A$6:$AN$238,22,FALSE)</f>
        <v>61.727802764879847</v>
      </c>
      <c r="R574" s="40">
        <f>VLOOKUP(D574,[1]apoio_Preços_MGS!$A$6:$AN$238,23,FALSE)</f>
        <v>0</v>
      </c>
      <c r="S574" s="40">
        <f>VLOOKUP(D574,[1]apoio_Preços_MGS!$A$6:$AN$238,24,FALSE)</f>
        <v>0</v>
      </c>
      <c r="T574" s="40">
        <f>VLOOKUP(D574,[1]apoio_Preços_MGS!$A$6:$AN$238,25,FALSE)</f>
        <v>4.4958689745640514</v>
      </c>
      <c r="U574" s="40">
        <f t="shared" si="273"/>
        <v>4073.8058297084635</v>
      </c>
      <c r="V574" s="41">
        <v>0.81799999999999995</v>
      </c>
      <c r="W574" s="40">
        <f t="shared" si="274"/>
        <v>3332.3731687015229</v>
      </c>
      <c r="X574" s="40">
        <f>VLOOKUP(D574,[1]apoio_Preços_MGS!$A$6:$AN$238,29,FALSE)</f>
        <v>62.000833333333333</v>
      </c>
      <c r="Y574" s="40">
        <f>VLOOKUP(D574,[1]apoio_Preços_MGS!$A$6:$AN$238,30,FALSE)</f>
        <v>0</v>
      </c>
      <c r="Z574" s="40">
        <f t="shared" si="266"/>
        <v>62.000833333333333</v>
      </c>
      <c r="AA574" s="40">
        <f>VLOOKUP(D574,[1]apoio_Preços_MGS!$A$6:$AN$238,32,FALSE)</f>
        <v>6.2150892704373444</v>
      </c>
      <c r="AB574" s="40">
        <f>VLOOKUP(D574,[1]apoio_Preços_MGS!$A$6:$AN$238,33,FALSE)</f>
        <v>113.64067261146543</v>
      </c>
      <c r="AC574" s="41">
        <f>VLOOKUP(D574,[1]apoio_Preços_MGS!$A$6:$AN$238,34,FALSE)</f>
        <v>3.2562971679721289E-2</v>
      </c>
      <c r="AD574" s="40">
        <f>(U574+W574+Z574+AB574+AA574+VLOOKUP(C574,[1]apoio_Prec_Folha!$A:$S,7,FALSE))*AC574</f>
        <v>264.99844730447575</v>
      </c>
      <c r="AE574" s="42">
        <f>VLOOKUP(D574,[1]apoio_Preços_MGS!$A$6:$AN$238,36,FALSE)</f>
        <v>7.0000000000000007E-2</v>
      </c>
      <c r="AF574" s="40">
        <f>(U574+W574+Z574+AB574+AD574+AA574+VLOOKUP(C574,[1]apoio_Prec_Folha!$A:$S,7,FALSE))*AE574</f>
        <v>588.21200611348661</v>
      </c>
      <c r="AG574" s="40">
        <f t="shared" si="267"/>
        <v>8441.24</v>
      </c>
      <c r="AH574" s="43">
        <f t="shared" si="268"/>
        <v>9844</v>
      </c>
      <c r="AI574" s="43">
        <f t="shared" si="269"/>
        <v>19688</v>
      </c>
      <c r="AJ574" s="43">
        <f t="shared" si="270"/>
        <v>1181280</v>
      </c>
      <c r="AK574" s="44">
        <f>VLOOKUP(D574,[1]apoio_Preços_MGS!$A$6:$AN$238,39,FALSE)</f>
        <v>200.00000000000003</v>
      </c>
      <c r="AL574" s="44">
        <f>IF(J574="demais municípios",VLOOKUP(D574,[1]apoio_Preços_MGS!$A$6:$AN$238,39,FALSE),0)</f>
        <v>200.00000000000003</v>
      </c>
      <c r="AM574" s="44">
        <v>0</v>
      </c>
      <c r="AN574" s="45">
        <f t="shared" si="297"/>
        <v>400.00000000000006</v>
      </c>
      <c r="AO574" s="44">
        <f>VLOOKUP(D574,[1]apoio_Preços_MGS!$A$6:$AN$238,40,FALSE)</f>
        <v>549.99</v>
      </c>
      <c r="AP574" s="44">
        <f>IF(J574="demais municípios",VLOOKUP(D574,[1]apoio_Preços_MGS!$A$6:$AN$238,40,FALSE),0)</f>
        <v>549.99</v>
      </c>
      <c r="AQ574" s="44">
        <v>0</v>
      </c>
      <c r="AR574" s="45">
        <f t="shared" si="298"/>
        <v>1099.98</v>
      </c>
      <c r="AS574" s="45">
        <f t="shared" si="277"/>
        <v>1499.98</v>
      </c>
      <c r="AT574" s="45">
        <f t="shared" si="280"/>
        <v>89998.8</v>
      </c>
      <c r="AU574" s="62"/>
      <c r="AV574" s="46"/>
      <c r="AW574" s="47"/>
      <c r="AX574" s="48"/>
      <c r="AY574" s="49"/>
      <c r="BA574" s="48"/>
    </row>
    <row r="575" spans="1:53" ht="19.5" customHeight="1" x14ac:dyDescent="0.25">
      <c r="A575" s="33" t="str">
        <f t="shared" si="278"/>
        <v>64050440,05</v>
      </c>
      <c r="B575" s="33" t="str">
        <f t="shared" si="279"/>
        <v>2150,05</v>
      </c>
      <c r="C575" s="34" t="str">
        <f>VLOOKUP(D575,[1]apoio_Preços_MGS!$A$6:$B$238,2,FALSE)</f>
        <v>RECEPCIONISTA</v>
      </c>
      <c r="D575" s="35">
        <v>215</v>
      </c>
      <c r="E575" s="33" t="str">
        <f>VLOOKUP(D575,[1]apoio_Preços_MGS!$A$6:$F$238,6,FALSE)</f>
        <v>RECEPCIONISTA - 12x36 NOTURNO - 44H</v>
      </c>
      <c r="F575" s="36">
        <f>IFERROR(VLOOKUP(D575,'[1]apoio_cód catmas'!$B$2:$C$863,2,FALSE),0)</f>
        <v>64050</v>
      </c>
      <c r="G575" s="33" t="str">
        <f>IF(H575="N/A",VLOOKUP(F575&amp;40,'[1]apoio_cód catmas'!$A$1:$G$233,4,FALSE),VLOOKUP(F575&amp;H575,'[1]apoio_cód catmas'!$A$1:$G$233,4,FALSE))</f>
        <v>RECEPCIONISTA - 12X36 NOTURNO - 44H</v>
      </c>
      <c r="H575" s="36">
        <v>44</v>
      </c>
      <c r="I575" s="37">
        <v>0.05</v>
      </c>
      <c r="J575" s="38" t="s">
        <v>47</v>
      </c>
      <c r="K575" s="39">
        <v>14</v>
      </c>
      <c r="L575" s="39">
        <f t="shared" si="265"/>
        <v>840</v>
      </c>
      <c r="M575" s="40">
        <f>VLOOKUP(D575,[1]apoio_Preços_MGS!$A$6:$AN$238,18,FALSE)</f>
        <v>3237.025661686117</v>
      </c>
      <c r="N575" s="40">
        <f>VLOOKUP(D575,[1]apoio_Preços_MGS!$A$6:$AN$238,19,FALSE)</f>
        <v>0</v>
      </c>
      <c r="O575" s="40">
        <f>VLOOKUP(D575,[1]apoio_Preços_MGS!$A$6:$AN$238,20,FALSE)</f>
        <v>754.09574394070887</v>
      </c>
      <c r="P575" s="40">
        <f>VLOOKUP(D575,[1]apoio_Preços_MGS!$A$6:$AN$238,21,FALSE)</f>
        <v>16.460752342193665</v>
      </c>
      <c r="Q575" s="40">
        <f>VLOOKUP(D575,[1]apoio_Preços_MGS!$A$6:$AN$238,22,FALSE)</f>
        <v>61.727802764879847</v>
      </c>
      <c r="R575" s="40">
        <f>VLOOKUP(D575,[1]apoio_Preços_MGS!$A$6:$AN$238,23,FALSE)</f>
        <v>0</v>
      </c>
      <c r="S575" s="40">
        <f>VLOOKUP(D575,[1]apoio_Preços_MGS!$A$6:$AN$238,24,FALSE)</f>
        <v>0</v>
      </c>
      <c r="T575" s="40">
        <f>VLOOKUP(D575,[1]apoio_Preços_MGS!$A$6:$AN$238,25,FALSE)</f>
        <v>4.4958689745640514</v>
      </c>
      <c r="U575" s="40">
        <f t="shared" si="273"/>
        <v>4073.8058297084635</v>
      </c>
      <c r="V575" s="41">
        <v>0.81799999999999995</v>
      </c>
      <c r="W575" s="40">
        <f t="shared" si="274"/>
        <v>3332.3731687015229</v>
      </c>
      <c r="X575" s="40">
        <f>VLOOKUP(D575,[1]apoio_Preços_MGS!$A$6:$AN$238,29,FALSE)</f>
        <v>62.000833333333333</v>
      </c>
      <c r="Y575" s="40">
        <f>VLOOKUP(D575,[1]apoio_Preços_MGS!$A$6:$AN$238,30,FALSE)</f>
        <v>0</v>
      </c>
      <c r="Z575" s="40">
        <f t="shared" si="266"/>
        <v>62.000833333333333</v>
      </c>
      <c r="AA575" s="40">
        <f>VLOOKUP(D575,[1]apoio_Preços_MGS!$A$6:$AN$238,32,FALSE)</f>
        <v>6.2150892704373444</v>
      </c>
      <c r="AB575" s="40">
        <f>VLOOKUP(D575,[1]apoio_Preços_MGS!$A$6:$AN$238,33,FALSE)</f>
        <v>113.64067261146543</v>
      </c>
      <c r="AC575" s="41">
        <f>VLOOKUP(D575,[1]apoio_Preços_MGS!$A$6:$AN$238,34,FALSE)</f>
        <v>3.2562971679721289E-2</v>
      </c>
      <c r="AD575" s="40">
        <f>(U575+W575+Z575+AB575+AA575+VLOOKUP(C575,[1]apoio_Prec_Folha!$A:$S,7,FALSE))*AC575</f>
        <v>264.99844730447575</v>
      </c>
      <c r="AE575" s="42">
        <f>VLOOKUP(D575,[1]apoio_Preços_MGS!$A$6:$AN$238,36,FALSE)</f>
        <v>7.0000000000000007E-2</v>
      </c>
      <c r="AF575" s="40">
        <f>(U575+W575+Z575+AB575+AD575+AA575+VLOOKUP(C575,[1]apoio_Prec_Folha!$A:$S,7,FALSE))*AE575</f>
        <v>588.21200611348661</v>
      </c>
      <c r="AG575" s="40">
        <f t="shared" si="267"/>
        <v>8441.24</v>
      </c>
      <c r="AH575" s="43">
        <f t="shared" si="268"/>
        <v>9844</v>
      </c>
      <c r="AI575" s="43">
        <f t="shared" si="269"/>
        <v>137816</v>
      </c>
      <c r="AJ575" s="43">
        <f t="shared" si="270"/>
        <v>8268960</v>
      </c>
      <c r="AK575" s="44">
        <f>VLOOKUP(D575,[1]apoio_Preços_MGS!$A$6:$AN$238,39,FALSE)</f>
        <v>200.00000000000003</v>
      </c>
      <c r="AL575" s="44">
        <f>IF(J575="demais municípios",VLOOKUP(D575,[1]apoio_Preços_MGS!$A$6:$AN$238,39,FALSE),0)</f>
        <v>0</v>
      </c>
      <c r="AM575" s="44">
        <f>TRUNC(ROUND(($I575)/(1-($I575)),5)*VLOOKUP(D575,[1]apoio_Preços_MGS!$A$6:$AN$238,39,FALSE)+VLOOKUP(D575,[1]apoio_Preços_MGS!$A$6:$AN$238,39,FALSE),2)</f>
        <v>210.52</v>
      </c>
      <c r="AN575" s="45">
        <f t="shared" si="281"/>
        <v>2947.28</v>
      </c>
      <c r="AO575" s="44">
        <f>VLOOKUP(D575,[1]apoio_Preços_MGS!$A$6:$AN$238,40,FALSE)</f>
        <v>549.99</v>
      </c>
      <c r="AP575" s="44">
        <f>IF(J575="demais municípios",VLOOKUP(D575,[1]apoio_Preços_MGS!$A$6:$AN$238,40,FALSE),0)</f>
        <v>0</v>
      </c>
      <c r="AQ575" s="44">
        <f>TRUNC(ROUND(($I575)/(1-($I575)),5)*VLOOKUP(D575,[1]apoio_Preços_MGS!$A$6:$AN$238,40,FALSE)+VLOOKUP(D575,[1]apoio_Preços_MGS!$A$6:$AN$238,40,FALSE),2)</f>
        <v>578.92999999999995</v>
      </c>
      <c r="AR575" s="45">
        <f t="shared" si="282"/>
        <v>8105.0199999999995</v>
      </c>
      <c r="AS575" s="45">
        <f t="shared" si="277"/>
        <v>11052.3</v>
      </c>
      <c r="AT575" s="45">
        <f t="shared" si="280"/>
        <v>663138</v>
      </c>
      <c r="AU575" s="62"/>
      <c r="AV575" s="46"/>
      <c r="AW575" s="47"/>
      <c r="AX575" s="48"/>
      <c r="AY575" s="49"/>
      <c r="BA575" s="48"/>
    </row>
    <row r="576" spans="1:53" ht="19.5" customHeight="1" x14ac:dyDescent="0.25">
      <c r="A576" s="33" t="str">
        <f t="shared" si="278"/>
        <v>63584300,05</v>
      </c>
      <c r="B576" s="33" t="str">
        <f t="shared" si="279"/>
        <v>2110,05</v>
      </c>
      <c r="C576" s="34" t="str">
        <f>VLOOKUP(D576,[1]apoio_Preços_MGS!$A$6:$B$238,2,FALSE)</f>
        <v>RECEPCIONISTA</v>
      </c>
      <c r="D576" s="35">
        <v>211</v>
      </c>
      <c r="E576" s="33" t="str">
        <f>VLOOKUP(D576,[1]apoio_Preços_MGS!$A$6:$F$238,6,FALSE)</f>
        <v>RECEPCIONISTA - DIARISTA DIURNO - 30H</v>
      </c>
      <c r="F576" s="36">
        <f>IFERROR(VLOOKUP(D576,'[1]apoio_cód catmas'!$B$2:$C$863,2,FALSE),0)</f>
        <v>63584</v>
      </c>
      <c r="G576" s="33" t="str">
        <f>IF(H576="N/A",VLOOKUP(F576&amp;40,'[1]apoio_cód catmas'!$A$1:$G$233,4,FALSE),VLOOKUP(F576&amp;H576,'[1]apoio_cód catmas'!$A$1:$G$233,4,FALSE))</f>
        <v>RECEPCIONISTA - 30H, 36H, 40H OU 44H</v>
      </c>
      <c r="H576" s="36">
        <v>30</v>
      </c>
      <c r="I576" s="37">
        <v>0.05</v>
      </c>
      <c r="J576" s="38" t="s">
        <v>46</v>
      </c>
      <c r="K576" s="39">
        <f>31-K577</f>
        <v>2</v>
      </c>
      <c r="L576" s="39">
        <f t="shared" si="265"/>
        <v>120</v>
      </c>
      <c r="M576" s="40">
        <f>VLOOKUP(D576,[1]apoio_Preços_MGS!$A$6:$AN$238,18,FALSE)</f>
        <v>2207.0629511496254</v>
      </c>
      <c r="N576" s="40">
        <f>VLOOKUP(D576,[1]apoio_Preços_MGS!$A$6:$AN$238,19,FALSE)</f>
        <v>0</v>
      </c>
      <c r="O576" s="40">
        <f>VLOOKUP(D576,[1]apoio_Preços_MGS!$A$6:$AN$238,20,FALSE)</f>
        <v>0</v>
      </c>
      <c r="P576" s="40">
        <f>VLOOKUP(D576,[1]apoio_Preços_MGS!$A$6:$AN$238,21,FALSE)</f>
        <v>0</v>
      </c>
      <c r="Q576" s="40">
        <f>VLOOKUP(D576,[1]apoio_Preços_MGS!$A$6:$AN$238,22,FALSE)</f>
        <v>0</v>
      </c>
      <c r="R576" s="40">
        <f>VLOOKUP(D576,[1]apoio_Preços_MGS!$A$6:$AN$238,23,FALSE)</f>
        <v>0</v>
      </c>
      <c r="S576" s="40">
        <f>VLOOKUP(D576,[1]apoio_Preços_MGS!$A$6:$AN$238,24,FALSE)</f>
        <v>0</v>
      </c>
      <c r="T576" s="40">
        <f>VLOOKUP(D576,[1]apoio_Preços_MGS!$A$6:$AN$238,25,FALSE)</f>
        <v>0</v>
      </c>
      <c r="U576" s="40">
        <f t="shared" si="273"/>
        <v>2207.0629511496254</v>
      </c>
      <c r="V576" s="41">
        <v>0.81799999999999995</v>
      </c>
      <c r="W576" s="40">
        <f t="shared" si="274"/>
        <v>1805.3774940403935</v>
      </c>
      <c r="X576" s="40">
        <f>VLOOKUP(D576,[1]apoio_Preços_MGS!$A$6:$AN$238,29,FALSE)</f>
        <v>62.000833333333333</v>
      </c>
      <c r="Y576" s="40">
        <f>VLOOKUP(D576,[1]apoio_Preços_MGS!$A$6:$AN$238,30,FALSE)</f>
        <v>0</v>
      </c>
      <c r="Z576" s="40">
        <f t="shared" si="266"/>
        <v>62.000833333333333</v>
      </c>
      <c r="AA576" s="40">
        <f>VLOOKUP(D576,[1]apoio_Preços_MGS!$A$6:$AN$238,32,FALSE)</f>
        <v>4.2375608662072803</v>
      </c>
      <c r="AB576" s="40">
        <f>VLOOKUP(D576,[1]apoio_Preços_MGS!$A$6:$AN$238,33,FALSE)</f>
        <v>148.80066537348034</v>
      </c>
      <c r="AC576" s="41">
        <f>VLOOKUP(D576,[1]apoio_Preços_MGS!$A$6:$AN$238,34,FALSE)</f>
        <v>3.2562971679721289E-2</v>
      </c>
      <c r="AD576" s="40">
        <f>(U576+W576+Z576+AB576+AA576+VLOOKUP(C576,[1]apoio_Prec_Folha!$A:$S,7,FALSE))*AC576</f>
        <v>155.56875455474153</v>
      </c>
      <c r="AE576" s="42">
        <f>VLOOKUP(D576,[1]apoio_Preços_MGS!$A$6:$AN$238,36,FALSE)</f>
        <v>7.0000000000000007E-2</v>
      </c>
      <c r="AF576" s="40">
        <f>(U576+W576+Z576+AB576+AD576+AA576+VLOOKUP(C576,[1]apoio_Prec_Folha!$A:$S,7,FALSE))*AE576</f>
        <v>345.31300140065224</v>
      </c>
      <c r="AG576" s="40">
        <f t="shared" si="267"/>
        <v>4728.3599999999997</v>
      </c>
      <c r="AH576" s="43">
        <f t="shared" si="268"/>
        <v>5514.11</v>
      </c>
      <c r="AI576" s="43">
        <f t="shared" si="269"/>
        <v>11028.22</v>
      </c>
      <c r="AJ576" s="43">
        <f t="shared" si="270"/>
        <v>661693.19999999995</v>
      </c>
      <c r="AK576" s="44">
        <f>VLOOKUP(D576,[1]apoio_Preços_MGS!$A$6:$AN$238,39,FALSE)</f>
        <v>136.36363636363637</v>
      </c>
      <c r="AL576" s="44">
        <f>IF(J576="demais municípios",VLOOKUP(D576,[1]apoio_Preços_MGS!$A$6:$AN$238,39,FALSE),0)</f>
        <v>136.36363636363637</v>
      </c>
      <c r="AM576" s="44">
        <v>0</v>
      </c>
      <c r="AN576" s="45">
        <f>AK576*K576</f>
        <v>272.72727272727275</v>
      </c>
      <c r="AO576" s="44">
        <f>VLOOKUP(D576,[1]apoio_Preços_MGS!$A$6:$AN$238,40,FALSE)</f>
        <v>549.99</v>
      </c>
      <c r="AP576" s="44">
        <f>IF(J576="demais municípios",VLOOKUP(D576,[1]apoio_Preços_MGS!$A$6:$AN$238,40,FALSE),0)</f>
        <v>549.99</v>
      </c>
      <c r="AQ576" s="44">
        <v>0</v>
      </c>
      <c r="AR576" s="45">
        <f>AO576*K576</f>
        <v>1099.98</v>
      </c>
      <c r="AS576" s="45">
        <f t="shared" si="277"/>
        <v>1372.7072727272728</v>
      </c>
      <c r="AT576" s="45">
        <f t="shared" si="280"/>
        <v>82362.436363636371</v>
      </c>
      <c r="AU576" s="62"/>
      <c r="AV576" s="46"/>
      <c r="AW576" s="47"/>
      <c r="AX576" s="48"/>
      <c r="AY576" s="49"/>
      <c r="BA576" s="48"/>
    </row>
    <row r="577" spans="1:53" ht="19.5" customHeight="1" x14ac:dyDescent="0.25">
      <c r="A577" s="33" t="str">
        <f t="shared" si="278"/>
        <v>63584300,05</v>
      </c>
      <c r="B577" s="33" t="str">
        <f t="shared" si="279"/>
        <v>2110,05</v>
      </c>
      <c r="C577" s="34" t="str">
        <f>VLOOKUP(D577,[1]apoio_Preços_MGS!$A$6:$B$238,2,FALSE)</f>
        <v>RECEPCIONISTA</v>
      </c>
      <c r="D577" s="35">
        <v>211</v>
      </c>
      <c r="E577" s="33" t="str">
        <f>VLOOKUP(D577,[1]apoio_Preços_MGS!$A$6:$F$238,6,FALSE)</f>
        <v>RECEPCIONISTA - DIARISTA DIURNO - 30H</v>
      </c>
      <c r="F577" s="36">
        <f>IFERROR(VLOOKUP(D577,'[1]apoio_cód catmas'!$B$2:$C$863,2,FALSE),0)</f>
        <v>63584</v>
      </c>
      <c r="G577" s="33" t="str">
        <f>IF(H577="N/A",VLOOKUP(F577&amp;40,'[1]apoio_cód catmas'!$A$1:$G$233,4,FALSE),VLOOKUP(F577&amp;H577,'[1]apoio_cód catmas'!$A$1:$G$233,4,FALSE))</f>
        <v>RECEPCIONISTA - 30H, 36H, 40H OU 44H</v>
      </c>
      <c r="H577" s="36">
        <v>30</v>
      </c>
      <c r="I577" s="37">
        <v>0.05</v>
      </c>
      <c r="J577" s="38" t="s">
        <v>47</v>
      </c>
      <c r="K577" s="39">
        <v>29</v>
      </c>
      <c r="L577" s="39">
        <f t="shared" si="265"/>
        <v>1740</v>
      </c>
      <c r="M577" s="40">
        <f>VLOOKUP(D577,[1]apoio_Preços_MGS!$A$6:$AN$238,18,FALSE)</f>
        <v>2207.0629511496254</v>
      </c>
      <c r="N577" s="40">
        <f>VLOOKUP(D577,[1]apoio_Preços_MGS!$A$6:$AN$238,19,FALSE)</f>
        <v>0</v>
      </c>
      <c r="O577" s="40">
        <f>VLOOKUP(D577,[1]apoio_Preços_MGS!$A$6:$AN$238,20,FALSE)</f>
        <v>0</v>
      </c>
      <c r="P577" s="40">
        <f>VLOOKUP(D577,[1]apoio_Preços_MGS!$A$6:$AN$238,21,FALSE)</f>
        <v>0</v>
      </c>
      <c r="Q577" s="40">
        <f>VLOOKUP(D577,[1]apoio_Preços_MGS!$A$6:$AN$238,22,FALSE)</f>
        <v>0</v>
      </c>
      <c r="R577" s="40">
        <f>VLOOKUP(D577,[1]apoio_Preços_MGS!$A$6:$AN$238,23,FALSE)</f>
        <v>0</v>
      </c>
      <c r="S577" s="40">
        <f>VLOOKUP(D577,[1]apoio_Preços_MGS!$A$6:$AN$238,24,FALSE)</f>
        <v>0</v>
      </c>
      <c r="T577" s="40">
        <f>VLOOKUP(D577,[1]apoio_Preços_MGS!$A$6:$AN$238,25,FALSE)</f>
        <v>0</v>
      </c>
      <c r="U577" s="40">
        <f t="shared" si="273"/>
        <v>2207.0629511496254</v>
      </c>
      <c r="V577" s="41">
        <v>0.81799999999999995</v>
      </c>
      <c r="W577" s="40">
        <f t="shared" si="274"/>
        <v>1805.3774940403935</v>
      </c>
      <c r="X577" s="40">
        <f>VLOOKUP(D577,[1]apoio_Preços_MGS!$A$6:$AN$238,29,FALSE)</f>
        <v>62.000833333333333</v>
      </c>
      <c r="Y577" s="40">
        <f>VLOOKUP(D577,[1]apoio_Preços_MGS!$A$6:$AN$238,30,FALSE)</f>
        <v>0</v>
      </c>
      <c r="Z577" s="40">
        <f t="shared" si="266"/>
        <v>62.000833333333333</v>
      </c>
      <c r="AA577" s="40">
        <f>VLOOKUP(D577,[1]apoio_Preços_MGS!$A$6:$AN$238,32,FALSE)</f>
        <v>4.2375608662072803</v>
      </c>
      <c r="AB577" s="40">
        <f>VLOOKUP(D577,[1]apoio_Preços_MGS!$A$6:$AN$238,33,FALSE)</f>
        <v>148.80066537348034</v>
      </c>
      <c r="AC577" s="41">
        <f>VLOOKUP(D577,[1]apoio_Preços_MGS!$A$6:$AN$238,34,FALSE)</f>
        <v>3.2562971679721289E-2</v>
      </c>
      <c r="AD577" s="40">
        <f>(U577+W577+Z577+AB577+AA577+VLOOKUP(C577,[1]apoio_Prec_Folha!$A:$S,7,FALSE))*AC577</f>
        <v>155.56875455474153</v>
      </c>
      <c r="AE577" s="42">
        <f>VLOOKUP(D577,[1]apoio_Preços_MGS!$A$6:$AN$238,36,FALSE)</f>
        <v>7.0000000000000007E-2</v>
      </c>
      <c r="AF577" s="40">
        <f>(U577+W577+Z577+AB577+AD577+AA577+VLOOKUP(C577,[1]apoio_Prec_Folha!$A:$S,7,FALSE))*AE577</f>
        <v>345.31300140065224</v>
      </c>
      <c r="AG577" s="40">
        <f t="shared" si="267"/>
        <v>4728.3599999999997</v>
      </c>
      <c r="AH577" s="43">
        <f t="shared" si="268"/>
        <v>5514.11</v>
      </c>
      <c r="AI577" s="43">
        <f t="shared" si="269"/>
        <v>159909.19</v>
      </c>
      <c r="AJ577" s="43">
        <f t="shared" si="270"/>
        <v>9594551.3999999985</v>
      </c>
      <c r="AK577" s="44">
        <f>VLOOKUP(D577,[1]apoio_Preços_MGS!$A$6:$AN$238,39,FALSE)</f>
        <v>136.36363636363637</v>
      </c>
      <c r="AL577" s="44">
        <f>IF(J577="demais municípios",VLOOKUP(D577,[1]apoio_Preços_MGS!$A$6:$AN$238,39,FALSE),0)</f>
        <v>0</v>
      </c>
      <c r="AM577" s="44">
        <f>TRUNC(ROUND(($I577)/(1-($I577)),5)*VLOOKUP(D577,[1]apoio_Preços_MGS!$A$6:$AN$238,39,FALSE)+VLOOKUP(D577,[1]apoio_Preços_MGS!$A$6:$AN$238,39,FALSE),2)</f>
        <v>143.54</v>
      </c>
      <c r="AN577" s="45">
        <f t="shared" si="281"/>
        <v>4162.66</v>
      </c>
      <c r="AO577" s="44">
        <f>VLOOKUP(D577,[1]apoio_Preços_MGS!$A$6:$AN$238,40,FALSE)</f>
        <v>549.99</v>
      </c>
      <c r="AP577" s="44">
        <f>IF(J577="demais municípios",VLOOKUP(D577,[1]apoio_Preços_MGS!$A$6:$AN$238,40,FALSE),0)</f>
        <v>0</v>
      </c>
      <c r="AQ577" s="44">
        <f>TRUNC(ROUND(($I577)/(1-($I577)),5)*VLOOKUP(D577,[1]apoio_Preços_MGS!$A$6:$AN$238,40,FALSE)+VLOOKUP(D577,[1]apoio_Preços_MGS!$A$6:$AN$238,40,FALSE),2)</f>
        <v>578.92999999999995</v>
      </c>
      <c r="AR577" s="45">
        <f t="shared" si="282"/>
        <v>16788.969999999998</v>
      </c>
      <c r="AS577" s="45">
        <f t="shared" si="277"/>
        <v>20951.629999999997</v>
      </c>
      <c r="AT577" s="45">
        <f t="shared" si="280"/>
        <v>1257097.7999999998</v>
      </c>
      <c r="AU577" s="62"/>
      <c r="AV577" s="46"/>
      <c r="AW577" s="47"/>
      <c r="AX577" s="48"/>
      <c r="AY577" s="49"/>
      <c r="BA577" s="48"/>
    </row>
    <row r="578" spans="1:53" ht="19.5" customHeight="1" x14ac:dyDescent="0.25">
      <c r="A578" s="33" t="str">
        <f t="shared" si="278"/>
        <v>63584360,03</v>
      </c>
      <c r="B578" s="33" t="str">
        <f t="shared" si="279"/>
        <v>2100,03</v>
      </c>
      <c r="C578" s="34" t="str">
        <f>VLOOKUP(D578,[1]apoio_Preços_MGS!$A$6:$B$238,2,FALSE)</f>
        <v>RECEPCIONISTA</v>
      </c>
      <c r="D578" s="35">
        <v>210</v>
      </c>
      <c r="E578" s="33" t="str">
        <f>VLOOKUP(D578,[1]apoio_Preços_MGS!$A$6:$F$238,6,FALSE)</f>
        <v>RECEPCIONISTA - DIARISTA DIURNO - 36H</v>
      </c>
      <c r="F578" s="36">
        <f>IFERROR(VLOOKUP(D578,'[1]apoio_cód catmas'!$B$2:$C$863,2,FALSE),0)</f>
        <v>63584</v>
      </c>
      <c r="G578" s="33" t="str">
        <f>IF(H578="N/A",VLOOKUP(F578&amp;40,'[1]apoio_cód catmas'!$A$1:$G$233,4,FALSE),VLOOKUP(F578&amp;H578,'[1]apoio_cód catmas'!$A$1:$G$233,4,FALSE))</f>
        <v>RECEPCIONISTA - 30H, 36H, 40H OU 44H</v>
      </c>
      <c r="H578" s="36">
        <v>36</v>
      </c>
      <c r="I578" s="37">
        <v>0.03</v>
      </c>
      <c r="J578" s="38" t="s">
        <v>46</v>
      </c>
      <c r="K578" s="39">
        <v>4</v>
      </c>
      <c r="L578" s="39">
        <f t="shared" si="265"/>
        <v>240</v>
      </c>
      <c r="M578" s="40">
        <f>VLOOKUP(D578,[1]apoio_Preços_MGS!$A$6:$AN$238,18,FALSE)</f>
        <v>2648.4755413795501</v>
      </c>
      <c r="N578" s="40">
        <f>VLOOKUP(D578,[1]apoio_Preços_MGS!$A$6:$AN$238,19,FALSE)</f>
        <v>0</v>
      </c>
      <c r="O578" s="40">
        <f>VLOOKUP(D578,[1]apoio_Preços_MGS!$A$6:$AN$238,20,FALSE)</f>
        <v>0</v>
      </c>
      <c r="P578" s="40">
        <f>VLOOKUP(D578,[1]apoio_Preços_MGS!$A$6:$AN$238,21,FALSE)</f>
        <v>0</v>
      </c>
      <c r="Q578" s="40">
        <f>VLOOKUP(D578,[1]apoio_Preços_MGS!$A$6:$AN$238,22,FALSE)</f>
        <v>0</v>
      </c>
      <c r="R578" s="40">
        <f>VLOOKUP(D578,[1]apoio_Preços_MGS!$A$6:$AN$238,23,FALSE)</f>
        <v>0</v>
      </c>
      <c r="S578" s="40">
        <f>VLOOKUP(D578,[1]apoio_Preços_MGS!$A$6:$AN$238,24,FALSE)</f>
        <v>0</v>
      </c>
      <c r="T578" s="40">
        <f>VLOOKUP(D578,[1]apoio_Preços_MGS!$A$6:$AN$238,25,FALSE)</f>
        <v>0</v>
      </c>
      <c r="U578" s="40">
        <f t="shared" si="273"/>
        <v>2648.4755413795501</v>
      </c>
      <c r="V578" s="41">
        <v>0.81799999999999995</v>
      </c>
      <c r="W578" s="40">
        <f t="shared" si="274"/>
        <v>2166.4529928484717</v>
      </c>
      <c r="X578" s="40">
        <f>VLOOKUP(D578,[1]apoio_Preços_MGS!$A$6:$AN$238,29,FALSE)</f>
        <v>62.000833333333333</v>
      </c>
      <c r="Y578" s="40">
        <f>VLOOKUP(D578,[1]apoio_Preços_MGS!$A$6:$AN$238,30,FALSE)</f>
        <v>0</v>
      </c>
      <c r="Z578" s="40">
        <f t="shared" si="266"/>
        <v>62.000833333333333</v>
      </c>
      <c r="AA578" s="40">
        <f>VLOOKUP(D578,[1]apoio_Preços_MGS!$A$6:$AN$238,32,FALSE)</f>
        <v>5.0850730394487362</v>
      </c>
      <c r="AB578" s="40">
        <f>VLOOKUP(D578,[1]apoio_Preços_MGS!$A$6:$AN$238,33,FALSE)</f>
        <v>133.73209704690254</v>
      </c>
      <c r="AC578" s="41">
        <f>VLOOKUP(D578,[1]apoio_Preços_MGS!$A$6:$AN$238,34,FALSE)</f>
        <v>3.2562971679721289E-2</v>
      </c>
      <c r="AD578" s="40">
        <f>(U578+W578+Z578+AB578+AA578+VLOOKUP(C578,[1]apoio_Prec_Folha!$A:$S,7,FALSE))*AC578</f>
        <v>181.23707162262286</v>
      </c>
      <c r="AE578" s="42">
        <f>VLOOKUP(D578,[1]apoio_Preços_MGS!$A$6:$AN$238,36,FALSE)</f>
        <v>7.0000000000000007E-2</v>
      </c>
      <c r="AF578" s="40">
        <f>(U578+W578+Z578+AB578+AD578+AA578+VLOOKUP(C578,[1]apoio_Prec_Folha!$A:$S,7,FALSE))*AE578</f>
        <v>402.28847589733067</v>
      </c>
      <c r="AG578" s="40">
        <f t="shared" si="267"/>
        <v>5599.27</v>
      </c>
      <c r="AH578" s="43">
        <f t="shared" si="268"/>
        <v>6380.92</v>
      </c>
      <c r="AI578" s="43">
        <f t="shared" si="269"/>
        <v>25523.68</v>
      </c>
      <c r="AJ578" s="43">
        <f t="shared" si="270"/>
        <v>1531420.8</v>
      </c>
      <c r="AK578" s="44">
        <f>VLOOKUP(D578,[1]apoio_Preços_MGS!$A$6:$AN$238,39,FALSE)</f>
        <v>163.63636363636365</v>
      </c>
      <c r="AL578" s="44">
        <f>IF(J578="demais municípios",VLOOKUP(D578,[1]apoio_Preços_MGS!$A$6:$AN$238,39,FALSE),0)</f>
        <v>163.63636363636365</v>
      </c>
      <c r="AM578" s="44">
        <v>0</v>
      </c>
      <c r="AN578" s="45">
        <f>AK578*K578</f>
        <v>654.54545454545462</v>
      </c>
      <c r="AO578" s="44">
        <f>VLOOKUP(D578,[1]apoio_Preços_MGS!$A$6:$AN$238,40,FALSE)</f>
        <v>649.99</v>
      </c>
      <c r="AP578" s="44">
        <f>IF(J578="demais municípios",VLOOKUP(D578,[1]apoio_Preços_MGS!$A$6:$AN$238,40,FALSE),0)</f>
        <v>649.99</v>
      </c>
      <c r="AQ578" s="44">
        <v>0</v>
      </c>
      <c r="AR578" s="45">
        <f>AO578*K578</f>
        <v>2599.96</v>
      </c>
      <c r="AS578" s="45">
        <f t="shared" si="277"/>
        <v>3254.5054545454545</v>
      </c>
      <c r="AT578" s="45">
        <f t="shared" si="280"/>
        <v>195270.32727272727</v>
      </c>
      <c r="AU578" s="62"/>
      <c r="AV578" s="46"/>
      <c r="AW578" s="47"/>
      <c r="AX578" s="48"/>
      <c r="AY578" s="49"/>
      <c r="BA578" s="48"/>
    </row>
    <row r="579" spans="1:53" ht="19.5" customHeight="1" x14ac:dyDescent="0.25">
      <c r="A579" s="33" t="str">
        <f t="shared" si="278"/>
        <v>63584360,05</v>
      </c>
      <c r="B579" s="33" t="str">
        <f t="shared" si="279"/>
        <v>2100,05</v>
      </c>
      <c r="C579" s="34" t="str">
        <f>VLOOKUP(D579,[1]apoio_Preços_MGS!$A$6:$B$238,2,FALSE)</f>
        <v>RECEPCIONISTA</v>
      </c>
      <c r="D579" s="35">
        <v>210</v>
      </c>
      <c r="E579" s="33" t="str">
        <f>VLOOKUP(D579,[1]apoio_Preços_MGS!$A$6:$F$238,6,FALSE)</f>
        <v>RECEPCIONISTA - DIARISTA DIURNO - 36H</v>
      </c>
      <c r="F579" s="36">
        <f>IFERROR(VLOOKUP(D579,'[1]apoio_cód catmas'!$B$2:$C$863,2,FALSE),0)</f>
        <v>63584</v>
      </c>
      <c r="G579" s="33" t="str">
        <f>IF(H579="N/A",VLOOKUP(F579&amp;40,'[1]apoio_cód catmas'!$A$1:$G$233,4,FALSE),VLOOKUP(F579&amp;H579,'[1]apoio_cód catmas'!$A$1:$G$233,4,FALSE))</f>
        <v>RECEPCIONISTA - 30H, 36H, 40H OU 44H</v>
      </c>
      <c r="H579" s="36">
        <v>36</v>
      </c>
      <c r="I579" s="37">
        <v>0.05</v>
      </c>
      <c r="J579" s="38" t="s">
        <v>47</v>
      </c>
      <c r="K579" s="39">
        <v>22</v>
      </c>
      <c r="L579" s="39">
        <f t="shared" si="265"/>
        <v>1320</v>
      </c>
      <c r="M579" s="40">
        <f>VLOOKUP(D579,[1]apoio_Preços_MGS!$A$6:$AN$238,18,FALSE)</f>
        <v>2648.4755413795501</v>
      </c>
      <c r="N579" s="40">
        <f>VLOOKUP(D579,[1]apoio_Preços_MGS!$A$6:$AN$238,19,FALSE)</f>
        <v>0</v>
      </c>
      <c r="O579" s="40">
        <f>VLOOKUP(D579,[1]apoio_Preços_MGS!$A$6:$AN$238,20,FALSE)</f>
        <v>0</v>
      </c>
      <c r="P579" s="40">
        <f>VLOOKUP(D579,[1]apoio_Preços_MGS!$A$6:$AN$238,21,FALSE)</f>
        <v>0</v>
      </c>
      <c r="Q579" s="40">
        <f>VLOOKUP(D579,[1]apoio_Preços_MGS!$A$6:$AN$238,22,FALSE)</f>
        <v>0</v>
      </c>
      <c r="R579" s="40">
        <f>VLOOKUP(D579,[1]apoio_Preços_MGS!$A$6:$AN$238,23,FALSE)</f>
        <v>0</v>
      </c>
      <c r="S579" s="40">
        <f>VLOOKUP(D579,[1]apoio_Preços_MGS!$A$6:$AN$238,24,FALSE)</f>
        <v>0</v>
      </c>
      <c r="T579" s="40">
        <f>VLOOKUP(D579,[1]apoio_Preços_MGS!$A$6:$AN$238,25,FALSE)</f>
        <v>0</v>
      </c>
      <c r="U579" s="40">
        <f t="shared" si="273"/>
        <v>2648.4755413795501</v>
      </c>
      <c r="V579" s="41">
        <v>0.81799999999999995</v>
      </c>
      <c r="W579" s="40">
        <f t="shared" si="274"/>
        <v>2166.4529928484717</v>
      </c>
      <c r="X579" s="40">
        <f>VLOOKUP(D579,[1]apoio_Preços_MGS!$A$6:$AN$238,29,FALSE)</f>
        <v>62.000833333333333</v>
      </c>
      <c r="Y579" s="40">
        <f>VLOOKUP(D579,[1]apoio_Preços_MGS!$A$6:$AN$238,30,FALSE)</f>
        <v>0</v>
      </c>
      <c r="Z579" s="40">
        <f t="shared" si="266"/>
        <v>62.000833333333333</v>
      </c>
      <c r="AA579" s="40">
        <f>VLOOKUP(D579,[1]apoio_Preços_MGS!$A$6:$AN$238,32,FALSE)</f>
        <v>5.0850730394487362</v>
      </c>
      <c r="AB579" s="40">
        <f>VLOOKUP(D579,[1]apoio_Preços_MGS!$A$6:$AN$238,33,FALSE)</f>
        <v>133.73209704690254</v>
      </c>
      <c r="AC579" s="41">
        <f>VLOOKUP(D579,[1]apoio_Preços_MGS!$A$6:$AN$238,34,FALSE)</f>
        <v>3.2562971679721289E-2</v>
      </c>
      <c r="AD579" s="40">
        <f>(U579+W579+Z579+AB579+AA579+VLOOKUP(C579,[1]apoio_Prec_Folha!$A:$S,7,FALSE))*AC579</f>
        <v>181.23707162262286</v>
      </c>
      <c r="AE579" s="42">
        <f>VLOOKUP(D579,[1]apoio_Preços_MGS!$A$6:$AN$238,36,FALSE)</f>
        <v>7.0000000000000007E-2</v>
      </c>
      <c r="AF579" s="40">
        <f>(U579+W579+Z579+AB579+AD579+AA579+VLOOKUP(C579,[1]apoio_Prec_Folha!$A:$S,7,FALSE))*AE579</f>
        <v>402.28847589733067</v>
      </c>
      <c r="AG579" s="40">
        <f t="shared" si="267"/>
        <v>5599.27</v>
      </c>
      <c r="AH579" s="43">
        <f t="shared" si="268"/>
        <v>6529.75</v>
      </c>
      <c r="AI579" s="43">
        <f t="shared" si="269"/>
        <v>143654.5</v>
      </c>
      <c r="AJ579" s="43">
        <f t="shared" si="270"/>
        <v>8619270</v>
      </c>
      <c r="AK579" s="44">
        <f>VLOOKUP(D579,[1]apoio_Preços_MGS!$A$6:$AN$238,39,FALSE)</f>
        <v>163.63636363636365</v>
      </c>
      <c r="AL579" s="44">
        <f>IF(J579="demais municípios",VLOOKUP(D579,[1]apoio_Preços_MGS!$A$6:$AN$238,39,FALSE),0)</f>
        <v>0</v>
      </c>
      <c r="AM579" s="44">
        <f>TRUNC(ROUND(($I579)/(1-($I579)),5)*VLOOKUP(D579,[1]apoio_Preços_MGS!$A$6:$AN$238,39,FALSE)+VLOOKUP(D579,[1]apoio_Preços_MGS!$A$6:$AN$238,39,FALSE),2)</f>
        <v>172.24</v>
      </c>
      <c r="AN579" s="45">
        <f t="shared" si="281"/>
        <v>3789.28</v>
      </c>
      <c r="AO579" s="44">
        <f>VLOOKUP(D579,[1]apoio_Preços_MGS!$A$6:$AN$238,40,FALSE)</f>
        <v>649.99</v>
      </c>
      <c r="AP579" s="44">
        <f>IF(J579="demais municípios",VLOOKUP(D579,[1]apoio_Preços_MGS!$A$6:$AN$238,40,FALSE),0)</f>
        <v>0</v>
      </c>
      <c r="AQ579" s="44">
        <f>TRUNC(ROUND(($I579)/(1-($I579)),5)*VLOOKUP(D579,[1]apoio_Preços_MGS!$A$6:$AN$238,40,FALSE)+VLOOKUP(D579,[1]apoio_Preços_MGS!$A$6:$AN$238,40,FALSE),2)</f>
        <v>684.19</v>
      </c>
      <c r="AR579" s="45">
        <f t="shared" si="282"/>
        <v>15052.18</v>
      </c>
      <c r="AS579" s="45">
        <f t="shared" si="277"/>
        <v>18841.46</v>
      </c>
      <c r="AT579" s="45">
        <f t="shared" si="280"/>
        <v>1130487.5999999999</v>
      </c>
      <c r="AU579" s="62"/>
      <c r="AV579" s="46"/>
      <c r="AW579" s="47"/>
      <c r="AX579" s="48"/>
      <c r="AY579" s="49"/>
      <c r="BA579" s="48"/>
    </row>
    <row r="580" spans="1:53" ht="19.5" customHeight="1" x14ac:dyDescent="0.25">
      <c r="A580" s="33" t="str">
        <f t="shared" si="278"/>
        <v>63584400,02</v>
      </c>
      <c r="B580" s="33" t="str">
        <f t="shared" si="279"/>
        <v>2090,02</v>
      </c>
      <c r="C580" s="34" t="str">
        <f>VLOOKUP(D580,[1]apoio_Preços_MGS!$A$6:$B$238,2,FALSE)</f>
        <v>RECEPCIONISTA</v>
      </c>
      <c r="D580" s="35">
        <v>209</v>
      </c>
      <c r="E580" s="33" t="str">
        <f>VLOOKUP(D580,[1]apoio_Preços_MGS!$A$6:$F$238,6,FALSE)</f>
        <v>RECEPCIONISTA - DIARISTA DIURNO - 40H</v>
      </c>
      <c r="F580" s="36">
        <f>IFERROR(VLOOKUP(D580,'[1]apoio_cód catmas'!$B$2:$C$863,2,FALSE),0)</f>
        <v>63584</v>
      </c>
      <c r="G580" s="33" t="str">
        <f>IF(H580="N/A",VLOOKUP(F580&amp;40,'[1]apoio_cód catmas'!$A$1:$G$233,4,FALSE),VLOOKUP(F580&amp;H580,'[1]apoio_cód catmas'!$A$1:$G$233,4,FALSE))</f>
        <v>RECEPCIONISTA - 30H, 36H, 40H OU 44H</v>
      </c>
      <c r="H580" s="36">
        <v>40</v>
      </c>
      <c r="I580" s="37">
        <v>0.02</v>
      </c>
      <c r="J580" s="38" t="s">
        <v>46</v>
      </c>
      <c r="K580" s="39">
        <v>43</v>
      </c>
      <c r="L580" s="39">
        <f t="shared" si="265"/>
        <v>2580</v>
      </c>
      <c r="M580" s="40">
        <f>VLOOKUP(D580,[1]apoio_Preços_MGS!$A$6:$AN$238,18,FALSE)</f>
        <v>2942.7506015328336</v>
      </c>
      <c r="N580" s="40">
        <f>VLOOKUP(D580,[1]apoio_Preços_MGS!$A$6:$AN$238,19,FALSE)</f>
        <v>0</v>
      </c>
      <c r="O580" s="40">
        <f>VLOOKUP(D580,[1]apoio_Preços_MGS!$A$6:$AN$238,20,FALSE)</f>
        <v>0</v>
      </c>
      <c r="P580" s="40">
        <f>VLOOKUP(D580,[1]apoio_Preços_MGS!$A$6:$AN$238,21,FALSE)</f>
        <v>0</v>
      </c>
      <c r="Q580" s="40">
        <f>VLOOKUP(D580,[1]apoio_Preços_MGS!$A$6:$AN$238,22,FALSE)</f>
        <v>0</v>
      </c>
      <c r="R580" s="40">
        <f>VLOOKUP(D580,[1]apoio_Preços_MGS!$A$6:$AN$238,23,FALSE)</f>
        <v>0</v>
      </c>
      <c r="S580" s="40">
        <f>VLOOKUP(D580,[1]apoio_Preços_MGS!$A$6:$AN$238,24,FALSE)</f>
        <v>0</v>
      </c>
      <c r="T580" s="40">
        <f>VLOOKUP(D580,[1]apoio_Preços_MGS!$A$6:$AN$238,25,FALSE)</f>
        <v>0</v>
      </c>
      <c r="U580" s="40">
        <f t="shared" si="273"/>
        <v>2942.7506015328336</v>
      </c>
      <c r="V580" s="41">
        <v>0.81799999999999995</v>
      </c>
      <c r="W580" s="40">
        <f t="shared" si="274"/>
        <v>2407.1699920538576</v>
      </c>
      <c r="X580" s="40">
        <f>VLOOKUP(D580,[1]apoio_Preços_MGS!$A$6:$AN$238,29,FALSE)</f>
        <v>62.000833333333333</v>
      </c>
      <c r="Y580" s="40">
        <f>VLOOKUP(D580,[1]apoio_Preços_MGS!$A$6:$AN$238,30,FALSE)</f>
        <v>0</v>
      </c>
      <c r="Z580" s="40">
        <f t="shared" si="266"/>
        <v>62.000833333333333</v>
      </c>
      <c r="AA580" s="40">
        <f>VLOOKUP(D580,[1]apoio_Preços_MGS!$A$6:$AN$238,32,FALSE)</f>
        <v>5.6500811549430399</v>
      </c>
      <c r="AB580" s="40">
        <f>VLOOKUP(D580,[1]apoio_Preços_MGS!$A$6:$AN$238,33,FALSE)</f>
        <v>123.68638482918398</v>
      </c>
      <c r="AC580" s="41">
        <f>VLOOKUP(D580,[1]apoio_Preços_MGS!$A$6:$AN$238,34,FALSE)</f>
        <v>3.2562971679721289E-2</v>
      </c>
      <c r="AD580" s="40">
        <f>(U580+W580+Z580+AB580+AA580+VLOOKUP(C580,[1]apoio_Prec_Folha!$A:$S,7,FALSE))*AC580</f>
        <v>198.34928300121047</v>
      </c>
      <c r="AE580" s="42">
        <f>VLOOKUP(D580,[1]apoio_Preços_MGS!$A$6:$AN$238,36,FALSE)</f>
        <v>7.0000000000000007E-2</v>
      </c>
      <c r="AF580" s="40">
        <f>(U580+W580+Z580+AB580+AD580+AA580+VLOOKUP(C580,[1]apoio_Prec_Folha!$A:$S,7,FALSE))*AE580</f>
        <v>440.2721255617829</v>
      </c>
      <c r="AG580" s="40">
        <f t="shared" si="267"/>
        <v>6179.87</v>
      </c>
      <c r="AH580" s="43">
        <f t="shared" si="268"/>
        <v>6963.23</v>
      </c>
      <c r="AI580" s="43">
        <f t="shared" si="269"/>
        <v>299418.88999999996</v>
      </c>
      <c r="AJ580" s="43">
        <f t="shared" si="270"/>
        <v>17965133.399999999</v>
      </c>
      <c r="AK580" s="44">
        <f>VLOOKUP(D580,[1]apoio_Preços_MGS!$A$6:$AN$238,39,FALSE)</f>
        <v>181.81818181818184</v>
      </c>
      <c r="AL580" s="44">
        <f>IF(J580="demais municípios",VLOOKUP(D580,[1]apoio_Preços_MGS!$A$6:$AN$238,39,FALSE),0)</f>
        <v>181.81818181818184</v>
      </c>
      <c r="AM580" s="44">
        <v>0</v>
      </c>
      <c r="AN580" s="45">
        <f t="shared" ref="AN580:AN587" si="299">AK580*K580</f>
        <v>7818.1818181818189</v>
      </c>
      <c r="AO580" s="44">
        <f>VLOOKUP(D580,[1]apoio_Preços_MGS!$A$6:$AN$238,40,FALSE)</f>
        <v>549.99</v>
      </c>
      <c r="AP580" s="44">
        <f>IF(J580="demais municípios",VLOOKUP(D580,[1]apoio_Preços_MGS!$A$6:$AN$238,40,FALSE),0)</f>
        <v>549.99</v>
      </c>
      <c r="AQ580" s="44">
        <v>0</v>
      </c>
      <c r="AR580" s="45">
        <f t="shared" ref="AR580:AR587" si="300">AO580*K580</f>
        <v>23649.57</v>
      </c>
      <c r="AS580" s="45">
        <f t="shared" si="277"/>
        <v>31467.75181818182</v>
      </c>
      <c r="AT580" s="45">
        <f t="shared" si="280"/>
        <v>1888065.1090909091</v>
      </c>
      <c r="AU580" s="62"/>
      <c r="AV580" s="46"/>
      <c r="AW580" s="47"/>
      <c r="AX580" s="48"/>
      <c r="AY580" s="49"/>
      <c r="BA580" s="48"/>
    </row>
    <row r="581" spans="1:53" ht="19.5" customHeight="1" x14ac:dyDescent="0.25">
      <c r="A581" s="33" t="str">
        <f t="shared" si="278"/>
        <v>63584400,025</v>
      </c>
      <c r="B581" s="33" t="str">
        <f t="shared" si="279"/>
        <v>2090,025</v>
      </c>
      <c r="C581" s="34" t="str">
        <f>VLOOKUP(D581,[1]apoio_Preços_MGS!$A$6:$B$238,2,FALSE)</f>
        <v>RECEPCIONISTA</v>
      </c>
      <c r="D581" s="35">
        <v>209</v>
      </c>
      <c r="E581" s="33" t="str">
        <f>VLOOKUP(D581,[1]apoio_Preços_MGS!$A$6:$F$238,6,FALSE)</f>
        <v>RECEPCIONISTA - DIARISTA DIURNO - 40H</v>
      </c>
      <c r="F581" s="36">
        <f>IFERROR(VLOOKUP(D581,'[1]apoio_cód catmas'!$B$2:$C$863,2,FALSE),0)</f>
        <v>63584</v>
      </c>
      <c r="G581" s="33" t="str">
        <f>IF(H581="N/A",VLOOKUP(F581&amp;40,'[1]apoio_cód catmas'!$A$1:$G$233,4,FALSE),VLOOKUP(F581&amp;H581,'[1]apoio_cód catmas'!$A$1:$G$233,4,FALSE))</f>
        <v>RECEPCIONISTA - 30H, 36H, 40H OU 44H</v>
      </c>
      <c r="H581" s="36">
        <v>40</v>
      </c>
      <c r="I581" s="37">
        <v>2.5000000000000001E-2</v>
      </c>
      <c r="J581" s="38" t="s">
        <v>46</v>
      </c>
      <c r="K581" s="39">
        <v>4</v>
      </c>
      <c r="L581" s="39">
        <f t="shared" si="265"/>
        <v>240</v>
      </c>
      <c r="M581" s="40">
        <f>VLOOKUP(D581,[1]apoio_Preços_MGS!$A$6:$AN$238,18,FALSE)</f>
        <v>2942.7506015328336</v>
      </c>
      <c r="N581" s="40">
        <f>VLOOKUP(D581,[1]apoio_Preços_MGS!$A$6:$AN$238,19,FALSE)</f>
        <v>0</v>
      </c>
      <c r="O581" s="40">
        <f>VLOOKUP(D581,[1]apoio_Preços_MGS!$A$6:$AN$238,20,FALSE)</f>
        <v>0</v>
      </c>
      <c r="P581" s="40">
        <f>VLOOKUP(D581,[1]apoio_Preços_MGS!$A$6:$AN$238,21,FALSE)</f>
        <v>0</v>
      </c>
      <c r="Q581" s="40">
        <f>VLOOKUP(D581,[1]apoio_Preços_MGS!$A$6:$AN$238,22,FALSE)</f>
        <v>0</v>
      </c>
      <c r="R581" s="40">
        <f>VLOOKUP(D581,[1]apoio_Preços_MGS!$A$6:$AN$238,23,FALSE)</f>
        <v>0</v>
      </c>
      <c r="S581" s="40">
        <f>VLOOKUP(D581,[1]apoio_Preços_MGS!$A$6:$AN$238,24,FALSE)</f>
        <v>0</v>
      </c>
      <c r="T581" s="40">
        <f>VLOOKUP(D581,[1]apoio_Preços_MGS!$A$6:$AN$238,25,FALSE)</f>
        <v>0</v>
      </c>
      <c r="U581" s="40">
        <f t="shared" si="273"/>
        <v>2942.7506015328336</v>
      </c>
      <c r="V581" s="41">
        <v>0.81799999999999995</v>
      </c>
      <c r="W581" s="40">
        <f t="shared" si="274"/>
        <v>2407.1699920538576</v>
      </c>
      <c r="X581" s="40">
        <f>VLOOKUP(D581,[1]apoio_Preços_MGS!$A$6:$AN$238,29,FALSE)</f>
        <v>62.000833333333333</v>
      </c>
      <c r="Y581" s="40">
        <f>VLOOKUP(D581,[1]apoio_Preços_MGS!$A$6:$AN$238,30,FALSE)</f>
        <v>0</v>
      </c>
      <c r="Z581" s="40">
        <f t="shared" si="266"/>
        <v>62.000833333333333</v>
      </c>
      <c r="AA581" s="40">
        <f>VLOOKUP(D581,[1]apoio_Preços_MGS!$A$6:$AN$238,32,FALSE)</f>
        <v>5.6500811549430399</v>
      </c>
      <c r="AB581" s="40">
        <f>VLOOKUP(D581,[1]apoio_Preços_MGS!$A$6:$AN$238,33,FALSE)</f>
        <v>123.68638482918398</v>
      </c>
      <c r="AC581" s="41">
        <f>VLOOKUP(D581,[1]apoio_Preços_MGS!$A$6:$AN$238,34,FALSE)</f>
        <v>3.2562971679721289E-2</v>
      </c>
      <c r="AD581" s="40">
        <f>(U581+W581+Z581+AB581+AA581+VLOOKUP(C581,[1]apoio_Prec_Folha!$A:$S,7,FALSE))*AC581</f>
        <v>198.34928300121047</v>
      </c>
      <c r="AE581" s="42">
        <f>VLOOKUP(D581,[1]apoio_Preços_MGS!$A$6:$AN$238,36,FALSE)</f>
        <v>7.0000000000000007E-2</v>
      </c>
      <c r="AF581" s="40">
        <f>(U581+W581+Z581+AB581+AD581+AA581+VLOOKUP(C581,[1]apoio_Prec_Folha!$A:$S,7,FALSE))*AE581</f>
        <v>440.2721255617829</v>
      </c>
      <c r="AG581" s="40">
        <f t="shared" si="267"/>
        <v>6179.87</v>
      </c>
      <c r="AH581" s="43">
        <f t="shared" si="268"/>
        <v>7002.65</v>
      </c>
      <c r="AI581" s="43">
        <f t="shared" si="269"/>
        <v>28010.6</v>
      </c>
      <c r="AJ581" s="43">
        <f t="shared" si="270"/>
        <v>1680636</v>
      </c>
      <c r="AK581" s="44">
        <f>VLOOKUP(D581,[1]apoio_Preços_MGS!$A$6:$AN$238,39,FALSE)</f>
        <v>181.81818181818184</v>
      </c>
      <c r="AL581" s="44">
        <f>IF(J581="demais municípios",VLOOKUP(D581,[1]apoio_Preços_MGS!$A$6:$AN$238,39,FALSE),0)</f>
        <v>181.81818181818184</v>
      </c>
      <c r="AM581" s="44">
        <v>0</v>
      </c>
      <c r="AN581" s="45">
        <f t="shared" si="299"/>
        <v>727.27272727272737</v>
      </c>
      <c r="AO581" s="44">
        <f>VLOOKUP(D581,[1]apoio_Preços_MGS!$A$6:$AN$238,40,FALSE)</f>
        <v>549.99</v>
      </c>
      <c r="AP581" s="44">
        <f>IF(J581="demais municípios",VLOOKUP(D581,[1]apoio_Preços_MGS!$A$6:$AN$238,40,FALSE),0)</f>
        <v>549.99</v>
      </c>
      <c r="AQ581" s="44">
        <v>0</v>
      </c>
      <c r="AR581" s="45">
        <f t="shared" si="300"/>
        <v>2199.96</v>
      </c>
      <c r="AS581" s="45">
        <f t="shared" si="277"/>
        <v>2927.2327272727275</v>
      </c>
      <c r="AT581" s="45">
        <f t="shared" si="280"/>
        <v>175633.96363636365</v>
      </c>
      <c r="AU581" s="62"/>
      <c r="AV581" s="46"/>
      <c r="AW581" s="47"/>
      <c r="AX581" s="48"/>
      <c r="AY581" s="49"/>
      <c r="BA581" s="48"/>
    </row>
    <row r="582" spans="1:53" ht="19.5" customHeight="1" x14ac:dyDescent="0.25">
      <c r="A582" s="33" t="str">
        <f t="shared" si="278"/>
        <v>63584400,03</v>
      </c>
      <c r="B582" s="33" t="str">
        <f t="shared" si="279"/>
        <v>2090,03</v>
      </c>
      <c r="C582" s="34" t="str">
        <f>VLOOKUP(D582,[1]apoio_Preços_MGS!$A$6:$B$238,2,FALSE)</f>
        <v>RECEPCIONISTA</v>
      </c>
      <c r="D582" s="35">
        <v>209</v>
      </c>
      <c r="E582" s="33" t="str">
        <f>VLOOKUP(D582,[1]apoio_Preços_MGS!$A$6:$F$238,6,FALSE)</f>
        <v>RECEPCIONISTA - DIARISTA DIURNO - 40H</v>
      </c>
      <c r="F582" s="36">
        <f>IFERROR(VLOOKUP(D582,'[1]apoio_cód catmas'!$B$2:$C$863,2,FALSE),0)</f>
        <v>63584</v>
      </c>
      <c r="G582" s="33" t="str">
        <f>IF(H582="N/A",VLOOKUP(F582&amp;40,'[1]apoio_cód catmas'!$A$1:$G$233,4,FALSE),VLOOKUP(F582&amp;H582,'[1]apoio_cód catmas'!$A$1:$G$233,4,FALSE))</f>
        <v>RECEPCIONISTA - 30H, 36H, 40H OU 44H</v>
      </c>
      <c r="H582" s="36">
        <v>40</v>
      </c>
      <c r="I582" s="37">
        <v>0.03</v>
      </c>
      <c r="J582" s="38" t="s">
        <v>46</v>
      </c>
      <c r="K582" s="39">
        <f>73-2</f>
        <v>71</v>
      </c>
      <c r="L582" s="39">
        <f t="shared" si="265"/>
        <v>4260</v>
      </c>
      <c r="M582" s="40">
        <f>VLOOKUP(D582,[1]apoio_Preços_MGS!$A$6:$AN$238,18,FALSE)</f>
        <v>2942.7506015328336</v>
      </c>
      <c r="N582" s="40">
        <f>VLOOKUP(D582,[1]apoio_Preços_MGS!$A$6:$AN$238,19,FALSE)</f>
        <v>0</v>
      </c>
      <c r="O582" s="40">
        <f>VLOOKUP(D582,[1]apoio_Preços_MGS!$A$6:$AN$238,20,FALSE)</f>
        <v>0</v>
      </c>
      <c r="P582" s="40">
        <f>VLOOKUP(D582,[1]apoio_Preços_MGS!$A$6:$AN$238,21,FALSE)</f>
        <v>0</v>
      </c>
      <c r="Q582" s="40">
        <f>VLOOKUP(D582,[1]apoio_Preços_MGS!$A$6:$AN$238,22,FALSE)</f>
        <v>0</v>
      </c>
      <c r="R582" s="40">
        <f>VLOOKUP(D582,[1]apoio_Preços_MGS!$A$6:$AN$238,23,FALSE)</f>
        <v>0</v>
      </c>
      <c r="S582" s="40">
        <f>VLOOKUP(D582,[1]apoio_Preços_MGS!$A$6:$AN$238,24,FALSE)</f>
        <v>0</v>
      </c>
      <c r="T582" s="40">
        <f>VLOOKUP(D582,[1]apoio_Preços_MGS!$A$6:$AN$238,25,FALSE)</f>
        <v>0</v>
      </c>
      <c r="U582" s="40">
        <f t="shared" si="273"/>
        <v>2942.7506015328336</v>
      </c>
      <c r="V582" s="41">
        <v>0.81799999999999995</v>
      </c>
      <c r="W582" s="40">
        <f t="shared" si="274"/>
        <v>2407.1699920538576</v>
      </c>
      <c r="X582" s="40">
        <f>VLOOKUP(D582,[1]apoio_Preços_MGS!$A$6:$AN$238,29,FALSE)</f>
        <v>62.000833333333333</v>
      </c>
      <c r="Y582" s="40">
        <f>VLOOKUP(D582,[1]apoio_Preços_MGS!$A$6:$AN$238,30,FALSE)</f>
        <v>0</v>
      </c>
      <c r="Z582" s="40">
        <f t="shared" si="266"/>
        <v>62.000833333333333</v>
      </c>
      <c r="AA582" s="40">
        <f>VLOOKUP(D582,[1]apoio_Preços_MGS!$A$6:$AN$238,32,FALSE)</f>
        <v>5.6500811549430399</v>
      </c>
      <c r="AB582" s="40">
        <f>VLOOKUP(D582,[1]apoio_Preços_MGS!$A$6:$AN$238,33,FALSE)</f>
        <v>123.68638482918398</v>
      </c>
      <c r="AC582" s="41">
        <f>VLOOKUP(D582,[1]apoio_Preços_MGS!$A$6:$AN$238,34,FALSE)</f>
        <v>3.2562971679721289E-2</v>
      </c>
      <c r="AD582" s="40">
        <f>(U582+W582+Z582+AB582+AA582+VLOOKUP(C582,[1]apoio_Prec_Folha!$A:$S,7,FALSE))*AC582</f>
        <v>198.34928300121047</v>
      </c>
      <c r="AE582" s="42">
        <f>VLOOKUP(D582,[1]apoio_Preços_MGS!$A$6:$AN$238,36,FALSE)</f>
        <v>7.0000000000000007E-2</v>
      </c>
      <c r="AF582" s="40">
        <f>(U582+W582+Z582+AB582+AD582+AA582+VLOOKUP(C582,[1]apoio_Prec_Folha!$A:$S,7,FALSE))*AE582</f>
        <v>440.2721255617829</v>
      </c>
      <c r="AG582" s="40">
        <f t="shared" si="267"/>
        <v>6179.87</v>
      </c>
      <c r="AH582" s="43">
        <f t="shared" si="268"/>
        <v>7042.57</v>
      </c>
      <c r="AI582" s="43">
        <f t="shared" si="269"/>
        <v>500022.47</v>
      </c>
      <c r="AJ582" s="43">
        <f t="shared" si="270"/>
        <v>30001348.199999999</v>
      </c>
      <c r="AK582" s="44">
        <f>VLOOKUP(D582,[1]apoio_Preços_MGS!$A$6:$AN$238,39,FALSE)</f>
        <v>181.81818181818184</v>
      </c>
      <c r="AL582" s="44">
        <f>IF(J582="demais municípios",VLOOKUP(D582,[1]apoio_Preços_MGS!$A$6:$AN$238,39,FALSE),0)</f>
        <v>181.81818181818184</v>
      </c>
      <c r="AM582" s="44">
        <v>0</v>
      </c>
      <c r="AN582" s="45">
        <f t="shared" si="299"/>
        <v>12909.09090909091</v>
      </c>
      <c r="AO582" s="44">
        <f>VLOOKUP(D582,[1]apoio_Preços_MGS!$A$6:$AN$238,40,FALSE)</f>
        <v>549.99</v>
      </c>
      <c r="AP582" s="44">
        <f>IF(J582="demais municípios",VLOOKUP(D582,[1]apoio_Preços_MGS!$A$6:$AN$238,40,FALSE),0)</f>
        <v>549.99</v>
      </c>
      <c r="AQ582" s="44">
        <v>0</v>
      </c>
      <c r="AR582" s="45">
        <f t="shared" si="300"/>
        <v>39049.29</v>
      </c>
      <c r="AS582" s="45">
        <f t="shared" si="277"/>
        <v>51958.380909090913</v>
      </c>
      <c r="AT582" s="45">
        <f t="shared" si="280"/>
        <v>3117502.854545455</v>
      </c>
      <c r="AU582" s="62"/>
      <c r="AV582" s="46"/>
      <c r="AW582" s="47"/>
      <c r="AX582" s="48"/>
      <c r="AY582" s="49"/>
      <c r="BA582" s="48"/>
    </row>
    <row r="583" spans="1:53" ht="19.5" customHeight="1" x14ac:dyDescent="0.25">
      <c r="A583" s="33" t="str">
        <f t="shared" si="278"/>
        <v>63584400,03</v>
      </c>
      <c r="B583" s="33" t="str">
        <f t="shared" si="279"/>
        <v>2090,03</v>
      </c>
      <c r="C583" s="34" t="str">
        <f>VLOOKUP(D583,[1]apoio_Preços_MGS!$A$6:$B$238,2,FALSE)</f>
        <v>RECEPCIONISTA</v>
      </c>
      <c r="D583" s="35">
        <v>209</v>
      </c>
      <c r="E583" s="33" t="str">
        <f>VLOOKUP(D583,[1]apoio_Preços_MGS!$A$6:$F$238,6,FALSE)</f>
        <v>RECEPCIONISTA - DIARISTA DIURNO - 40H</v>
      </c>
      <c r="F583" s="36">
        <f>IFERROR(VLOOKUP(D583,'[1]apoio_cód catmas'!$B$2:$C$863,2,FALSE),0)</f>
        <v>63584</v>
      </c>
      <c r="G583" s="33" t="str">
        <f>IF(H583="N/A",VLOOKUP(F583&amp;40,'[1]apoio_cód catmas'!$A$1:$G$233,4,FALSE),VLOOKUP(F583&amp;H583,'[1]apoio_cód catmas'!$A$1:$G$233,4,FALSE))</f>
        <v>RECEPCIONISTA - 30H, 36H, 40H OU 44H</v>
      </c>
      <c r="H583" s="36">
        <v>40</v>
      </c>
      <c r="I583" s="37">
        <v>0.03</v>
      </c>
      <c r="J583" s="38" t="s">
        <v>46</v>
      </c>
      <c r="K583" s="39">
        <v>1</v>
      </c>
      <c r="L583" s="39">
        <f>K583*56</f>
        <v>56</v>
      </c>
      <c r="M583" s="40">
        <f>VLOOKUP(D583,[1]apoio_Preços_MGS!$A$6:$AN$238,18,FALSE)</f>
        <v>2942.7506015328336</v>
      </c>
      <c r="N583" s="40">
        <f>VLOOKUP(D583,[1]apoio_Preços_MGS!$A$6:$AN$238,19,FALSE)</f>
        <v>0</v>
      </c>
      <c r="O583" s="40">
        <f>VLOOKUP(D583,[1]apoio_Preços_MGS!$A$6:$AN$238,20,FALSE)</f>
        <v>0</v>
      </c>
      <c r="P583" s="40">
        <f>VLOOKUP(D583,[1]apoio_Preços_MGS!$A$6:$AN$238,21,FALSE)</f>
        <v>0</v>
      </c>
      <c r="Q583" s="40">
        <f>VLOOKUP(D583,[1]apoio_Preços_MGS!$A$6:$AN$238,22,FALSE)</f>
        <v>0</v>
      </c>
      <c r="R583" s="40">
        <f>VLOOKUP(D583,[1]apoio_Preços_MGS!$A$6:$AN$238,23,FALSE)</f>
        <v>0</v>
      </c>
      <c r="S583" s="40">
        <f>VLOOKUP(D583,[1]apoio_Preços_MGS!$A$6:$AN$238,24,FALSE)</f>
        <v>0</v>
      </c>
      <c r="T583" s="40">
        <f>VLOOKUP(D583,[1]apoio_Preços_MGS!$A$6:$AN$238,25,FALSE)</f>
        <v>0</v>
      </c>
      <c r="U583" s="40">
        <f t="shared" si="273"/>
        <v>2942.7506015328336</v>
      </c>
      <c r="V583" s="41">
        <v>0.81799999999999995</v>
      </c>
      <c r="W583" s="40">
        <f t="shared" si="274"/>
        <v>2407.1699920538576</v>
      </c>
      <c r="X583" s="40">
        <f>VLOOKUP(D583,[1]apoio_Preços_MGS!$A$6:$AN$238,29,FALSE)</f>
        <v>62.000833333333333</v>
      </c>
      <c r="Y583" s="40">
        <f>VLOOKUP(D583,[1]apoio_Preços_MGS!$A$6:$AN$238,30,FALSE)</f>
        <v>0</v>
      </c>
      <c r="Z583" s="40">
        <f t="shared" si="266"/>
        <v>62.000833333333333</v>
      </c>
      <c r="AA583" s="40">
        <f>VLOOKUP(D583,[1]apoio_Preços_MGS!$A$6:$AN$238,32,FALSE)</f>
        <v>5.6500811549430399</v>
      </c>
      <c r="AB583" s="40">
        <f>VLOOKUP(D583,[1]apoio_Preços_MGS!$A$6:$AN$238,33,FALSE)</f>
        <v>123.68638482918398</v>
      </c>
      <c r="AC583" s="41">
        <f>VLOOKUP(D583,[1]apoio_Preços_MGS!$A$6:$AN$238,34,FALSE)</f>
        <v>3.2562971679721289E-2</v>
      </c>
      <c r="AD583" s="40">
        <f>(U583+W583+Z583+AB583+AA583+VLOOKUP(C583,[1]apoio_Prec_Folha!$A:$S,7,FALSE))*AC583</f>
        <v>198.34928300121047</v>
      </c>
      <c r="AE583" s="42">
        <f>VLOOKUP(D583,[1]apoio_Preços_MGS!$A$6:$AN$238,36,FALSE)</f>
        <v>7.0000000000000007E-2</v>
      </c>
      <c r="AF583" s="40">
        <f>(U583+W583+Z583+AB583+AD583+AA583+VLOOKUP(C583,[1]apoio_Prec_Folha!$A:$S,7,FALSE))*AE583</f>
        <v>440.2721255617829</v>
      </c>
      <c r="AG583" s="40">
        <f t="shared" si="267"/>
        <v>6179.87</v>
      </c>
      <c r="AH583" s="43">
        <f t="shared" si="268"/>
        <v>7042.57</v>
      </c>
      <c r="AI583" s="43">
        <f t="shared" si="269"/>
        <v>7042.57</v>
      </c>
      <c r="AJ583" s="43">
        <f t="shared" si="270"/>
        <v>394383.92</v>
      </c>
      <c r="AK583" s="44">
        <f>VLOOKUP(D583,[1]apoio_Preços_MGS!$A$6:$AN$238,39,FALSE)</f>
        <v>181.81818181818184</v>
      </c>
      <c r="AL583" s="44">
        <f>IF(J583="demais municípios",VLOOKUP(D583,[1]apoio_Preços_MGS!$A$6:$AN$238,39,FALSE),0)</f>
        <v>181.81818181818184</v>
      </c>
      <c r="AM583" s="44">
        <v>0</v>
      </c>
      <c r="AN583" s="45">
        <f t="shared" si="299"/>
        <v>181.81818181818184</v>
      </c>
      <c r="AO583" s="44">
        <f>VLOOKUP(D583,[1]apoio_Preços_MGS!$A$6:$AN$238,40,FALSE)</f>
        <v>549.99</v>
      </c>
      <c r="AP583" s="44">
        <f>IF(J583="demais municípios",VLOOKUP(D583,[1]apoio_Preços_MGS!$A$6:$AN$238,40,FALSE),0)</f>
        <v>549.99</v>
      </c>
      <c r="AQ583" s="44">
        <v>0</v>
      </c>
      <c r="AR583" s="45">
        <f t="shared" si="300"/>
        <v>549.99</v>
      </c>
      <c r="AS583" s="45">
        <f t="shared" si="277"/>
        <v>731.80818181818188</v>
      </c>
      <c r="AT583" s="45">
        <f t="shared" si="280"/>
        <v>43908.490909090913</v>
      </c>
      <c r="AU583" s="62"/>
      <c r="AV583" s="46"/>
      <c r="AW583" s="47"/>
      <c r="AX583" s="48"/>
      <c r="AY583" s="49"/>
      <c r="BA583" s="48"/>
    </row>
    <row r="584" spans="1:53" ht="19.5" customHeight="1" x14ac:dyDescent="0.25">
      <c r="A584" s="33" t="str">
        <f t="shared" si="278"/>
        <v>63584400,035</v>
      </c>
      <c r="B584" s="33" t="str">
        <f t="shared" si="279"/>
        <v>2090,035</v>
      </c>
      <c r="C584" s="34" t="str">
        <f>VLOOKUP(D584,[1]apoio_Preços_MGS!$A$6:$B$238,2,FALSE)</f>
        <v>RECEPCIONISTA</v>
      </c>
      <c r="D584" s="35">
        <v>209</v>
      </c>
      <c r="E584" s="33" t="str">
        <f>VLOOKUP(D584,[1]apoio_Preços_MGS!$A$6:$F$238,6,FALSE)</f>
        <v>RECEPCIONISTA - DIARISTA DIURNO - 40H</v>
      </c>
      <c r="F584" s="36">
        <f>IFERROR(VLOOKUP(D584,'[1]apoio_cód catmas'!$B$2:$C$863,2,FALSE),0)</f>
        <v>63584</v>
      </c>
      <c r="G584" s="33" t="str">
        <f>IF(H584="N/A",VLOOKUP(F584&amp;40,'[1]apoio_cód catmas'!$A$1:$G$233,4,FALSE),VLOOKUP(F584&amp;H584,'[1]apoio_cód catmas'!$A$1:$G$233,4,FALSE))</f>
        <v>RECEPCIONISTA - 30H, 36H, 40H OU 44H</v>
      </c>
      <c r="H584" s="36">
        <v>40</v>
      </c>
      <c r="I584" s="37">
        <v>3.5000000000000003E-2</v>
      </c>
      <c r="J584" s="38" t="s">
        <v>46</v>
      </c>
      <c r="K584" s="39">
        <v>10</v>
      </c>
      <c r="L584" s="39">
        <f t="shared" si="265"/>
        <v>600</v>
      </c>
      <c r="M584" s="40">
        <f>VLOOKUP(D584,[1]apoio_Preços_MGS!$A$6:$AN$238,18,FALSE)</f>
        <v>2942.7506015328336</v>
      </c>
      <c r="N584" s="40">
        <f>VLOOKUP(D584,[1]apoio_Preços_MGS!$A$6:$AN$238,19,FALSE)</f>
        <v>0</v>
      </c>
      <c r="O584" s="40">
        <f>VLOOKUP(D584,[1]apoio_Preços_MGS!$A$6:$AN$238,20,FALSE)</f>
        <v>0</v>
      </c>
      <c r="P584" s="40">
        <f>VLOOKUP(D584,[1]apoio_Preços_MGS!$A$6:$AN$238,21,FALSE)</f>
        <v>0</v>
      </c>
      <c r="Q584" s="40">
        <f>VLOOKUP(D584,[1]apoio_Preços_MGS!$A$6:$AN$238,22,FALSE)</f>
        <v>0</v>
      </c>
      <c r="R584" s="40">
        <f>VLOOKUP(D584,[1]apoio_Preços_MGS!$A$6:$AN$238,23,FALSE)</f>
        <v>0</v>
      </c>
      <c r="S584" s="40">
        <f>VLOOKUP(D584,[1]apoio_Preços_MGS!$A$6:$AN$238,24,FALSE)</f>
        <v>0</v>
      </c>
      <c r="T584" s="40">
        <f>VLOOKUP(D584,[1]apoio_Preços_MGS!$A$6:$AN$238,25,FALSE)</f>
        <v>0</v>
      </c>
      <c r="U584" s="40">
        <f t="shared" si="273"/>
        <v>2942.7506015328336</v>
      </c>
      <c r="V584" s="41">
        <v>0.81799999999999995</v>
      </c>
      <c r="W584" s="40">
        <f t="shared" si="274"/>
        <v>2407.1699920538576</v>
      </c>
      <c r="X584" s="40">
        <f>VLOOKUP(D584,[1]apoio_Preços_MGS!$A$6:$AN$238,29,FALSE)</f>
        <v>62.000833333333333</v>
      </c>
      <c r="Y584" s="40">
        <f>VLOOKUP(D584,[1]apoio_Preços_MGS!$A$6:$AN$238,30,FALSE)</f>
        <v>0</v>
      </c>
      <c r="Z584" s="40">
        <f t="shared" si="266"/>
        <v>62.000833333333333</v>
      </c>
      <c r="AA584" s="40">
        <f>VLOOKUP(D584,[1]apoio_Preços_MGS!$A$6:$AN$238,32,FALSE)</f>
        <v>5.6500811549430399</v>
      </c>
      <c r="AB584" s="40">
        <f>VLOOKUP(D584,[1]apoio_Preços_MGS!$A$6:$AN$238,33,FALSE)</f>
        <v>123.68638482918398</v>
      </c>
      <c r="AC584" s="41">
        <f>VLOOKUP(D584,[1]apoio_Preços_MGS!$A$6:$AN$238,34,FALSE)</f>
        <v>3.2562971679721289E-2</v>
      </c>
      <c r="AD584" s="40">
        <f>(U584+W584+Z584+AB584+AA584+VLOOKUP(C584,[1]apoio_Prec_Folha!$A:$S,7,FALSE))*AC584</f>
        <v>198.34928300121047</v>
      </c>
      <c r="AE584" s="42">
        <f>VLOOKUP(D584,[1]apoio_Preços_MGS!$A$6:$AN$238,36,FALSE)</f>
        <v>7.0000000000000007E-2</v>
      </c>
      <c r="AF584" s="40">
        <f>(U584+W584+Z584+AB584+AD584+AA584+VLOOKUP(C584,[1]apoio_Prec_Folha!$A:$S,7,FALSE))*AE584</f>
        <v>440.2721255617829</v>
      </c>
      <c r="AG584" s="40">
        <f t="shared" si="267"/>
        <v>6179.87</v>
      </c>
      <c r="AH584" s="43">
        <f t="shared" si="268"/>
        <v>7082.93</v>
      </c>
      <c r="AI584" s="43">
        <f t="shared" si="269"/>
        <v>70829.3</v>
      </c>
      <c r="AJ584" s="43">
        <f t="shared" si="270"/>
        <v>4249758</v>
      </c>
      <c r="AK584" s="44">
        <f>VLOOKUP(D584,[1]apoio_Preços_MGS!$A$6:$AN$238,39,FALSE)</f>
        <v>181.81818181818184</v>
      </c>
      <c r="AL584" s="44">
        <f>IF(J584="demais municípios",VLOOKUP(D584,[1]apoio_Preços_MGS!$A$6:$AN$238,39,FALSE),0)</f>
        <v>181.81818181818184</v>
      </c>
      <c r="AM584" s="44">
        <v>0</v>
      </c>
      <c r="AN584" s="45">
        <f t="shared" si="299"/>
        <v>1818.1818181818185</v>
      </c>
      <c r="AO584" s="44">
        <f>VLOOKUP(D584,[1]apoio_Preços_MGS!$A$6:$AN$238,40,FALSE)</f>
        <v>549.99</v>
      </c>
      <c r="AP584" s="44">
        <f>IF(J584="demais municípios",VLOOKUP(D584,[1]apoio_Preços_MGS!$A$6:$AN$238,40,FALSE),0)</f>
        <v>549.99</v>
      </c>
      <c r="AQ584" s="44">
        <v>0</v>
      </c>
      <c r="AR584" s="45">
        <f t="shared" si="300"/>
        <v>5499.9</v>
      </c>
      <c r="AS584" s="45">
        <f t="shared" si="277"/>
        <v>7318.0818181818177</v>
      </c>
      <c r="AT584" s="45">
        <f t="shared" si="280"/>
        <v>439084.90909090906</v>
      </c>
      <c r="AU584" s="62"/>
      <c r="AV584" s="46"/>
      <c r="AW584" s="47"/>
      <c r="AX584" s="48"/>
      <c r="AY584" s="49"/>
      <c r="BA584" s="48"/>
    </row>
    <row r="585" spans="1:53" ht="19.5" customHeight="1" x14ac:dyDescent="0.25">
      <c r="A585" s="33" t="str">
        <f t="shared" si="278"/>
        <v>63584400,04</v>
      </c>
      <c r="B585" s="33" t="str">
        <f t="shared" si="279"/>
        <v>2090,04</v>
      </c>
      <c r="C585" s="34" t="str">
        <f>VLOOKUP(D585,[1]apoio_Preços_MGS!$A$6:$B$238,2,FALSE)</f>
        <v>RECEPCIONISTA</v>
      </c>
      <c r="D585" s="35">
        <v>209</v>
      </c>
      <c r="E585" s="33" t="str">
        <f>VLOOKUP(D585,[1]apoio_Preços_MGS!$A$6:$F$238,6,FALSE)</f>
        <v>RECEPCIONISTA - DIARISTA DIURNO - 40H</v>
      </c>
      <c r="F585" s="36">
        <f>IFERROR(VLOOKUP(D585,'[1]apoio_cód catmas'!$B$2:$C$863,2,FALSE),0)</f>
        <v>63584</v>
      </c>
      <c r="G585" s="33" t="str">
        <f>IF(H585="N/A",VLOOKUP(F585&amp;40,'[1]apoio_cód catmas'!$A$1:$G$233,4,FALSE),VLOOKUP(F585&amp;H585,'[1]apoio_cód catmas'!$A$1:$G$233,4,FALSE))</f>
        <v>RECEPCIONISTA - 30H, 36H, 40H OU 44H</v>
      </c>
      <c r="H585" s="36">
        <v>40</v>
      </c>
      <c r="I585" s="37">
        <v>0.04</v>
      </c>
      <c r="J585" s="38" t="s">
        <v>46</v>
      </c>
      <c r="K585" s="39">
        <v>16</v>
      </c>
      <c r="L585" s="39">
        <f t="shared" si="265"/>
        <v>960</v>
      </c>
      <c r="M585" s="40">
        <f>VLOOKUP(D585,[1]apoio_Preços_MGS!$A$6:$AN$238,18,FALSE)</f>
        <v>2942.7506015328336</v>
      </c>
      <c r="N585" s="40">
        <f>VLOOKUP(D585,[1]apoio_Preços_MGS!$A$6:$AN$238,19,FALSE)</f>
        <v>0</v>
      </c>
      <c r="O585" s="40">
        <f>VLOOKUP(D585,[1]apoio_Preços_MGS!$A$6:$AN$238,20,FALSE)</f>
        <v>0</v>
      </c>
      <c r="P585" s="40">
        <f>VLOOKUP(D585,[1]apoio_Preços_MGS!$A$6:$AN$238,21,FALSE)</f>
        <v>0</v>
      </c>
      <c r="Q585" s="40">
        <f>VLOOKUP(D585,[1]apoio_Preços_MGS!$A$6:$AN$238,22,FALSE)</f>
        <v>0</v>
      </c>
      <c r="R585" s="40">
        <f>VLOOKUP(D585,[1]apoio_Preços_MGS!$A$6:$AN$238,23,FALSE)</f>
        <v>0</v>
      </c>
      <c r="S585" s="40">
        <f>VLOOKUP(D585,[1]apoio_Preços_MGS!$A$6:$AN$238,24,FALSE)</f>
        <v>0</v>
      </c>
      <c r="T585" s="40">
        <f>VLOOKUP(D585,[1]apoio_Preços_MGS!$A$6:$AN$238,25,FALSE)</f>
        <v>0</v>
      </c>
      <c r="U585" s="40">
        <f t="shared" ref="U585:U664" si="301">SUM(M585:T585)</f>
        <v>2942.7506015328336</v>
      </c>
      <c r="V585" s="41">
        <v>0.81799999999999995</v>
      </c>
      <c r="W585" s="40">
        <f t="shared" ref="W585:W664" si="302">U585*V585</f>
        <v>2407.1699920538576</v>
      </c>
      <c r="X585" s="40">
        <f>VLOOKUP(D585,[1]apoio_Preços_MGS!$A$6:$AN$238,29,FALSE)</f>
        <v>62.000833333333333</v>
      </c>
      <c r="Y585" s="40">
        <f>VLOOKUP(D585,[1]apoio_Preços_MGS!$A$6:$AN$238,30,FALSE)</f>
        <v>0</v>
      </c>
      <c r="Z585" s="40">
        <f t="shared" si="266"/>
        <v>62.000833333333333</v>
      </c>
      <c r="AA585" s="40">
        <f>VLOOKUP(D585,[1]apoio_Preços_MGS!$A$6:$AN$238,32,FALSE)</f>
        <v>5.6500811549430399</v>
      </c>
      <c r="AB585" s="40">
        <f>VLOOKUP(D585,[1]apoio_Preços_MGS!$A$6:$AN$238,33,FALSE)</f>
        <v>123.68638482918398</v>
      </c>
      <c r="AC585" s="41">
        <f>VLOOKUP(D585,[1]apoio_Preços_MGS!$A$6:$AN$238,34,FALSE)</f>
        <v>3.2562971679721289E-2</v>
      </c>
      <c r="AD585" s="40">
        <f>(U585+W585+Z585+AB585+AA585+VLOOKUP(C585,[1]apoio_Prec_Folha!$A:$S,7,FALSE))*AC585</f>
        <v>198.34928300121047</v>
      </c>
      <c r="AE585" s="42">
        <f>VLOOKUP(D585,[1]apoio_Preços_MGS!$A$6:$AN$238,36,FALSE)</f>
        <v>7.0000000000000007E-2</v>
      </c>
      <c r="AF585" s="40">
        <f>(U585+W585+Z585+AB585+AD585+AA585+VLOOKUP(C585,[1]apoio_Prec_Folha!$A:$S,7,FALSE))*AE585</f>
        <v>440.2721255617829</v>
      </c>
      <c r="AG585" s="40">
        <f t="shared" si="267"/>
        <v>6179.87</v>
      </c>
      <c r="AH585" s="43">
        <f t="shared" si="268"/>
        <v>7123.78</v>
      </c>
      <c r="AI585" s="43">
        <f t="shared" si="269"/>
        <v>113980.48</v>
      </c>
      <c r="AJ585" s="43">
        <f t="shared" si="270"/>
        <v>6838828.7999999998</v>
      </c>
      <c r="AK585" s="44">
        <f>VLOOKUP(D585,[1]apoio_Preços_MGS!$A$6:$AN$238,39,FALSE)</f>
        <v>181.81818181818184</v>
      </c>
      <c r="AL585" s="44">
        <f>IF(J585="demais municípios",VLOOKUP(D585,[1]apoio_Preços_MGS!$A$6:$AN$238,39,FALSE),0)</f>
        <v>181.81818181818184</v>
      </c>
      <c r="AM585" s="44">
        <v>0</v>
      </c>
      <c r="AN585" s="45">
        <f t="shared" si="299"/>
        <v>2909.0909090909095</v>
      </c>
      <c r="AO585" s="44">
        <f>VLOOKUP(D585,[1]apoio_Preços_MGS!$A$6:$AN$238,40,FALSE)</f>
        <v>549.99</v>
      </c>
      <c r="AP585" s="44">
        <f>IF(J585="demais municípios",VLOOKUP(D585,[1]apoio_Preços_MGS!$A$6:$AN$238,40,FALSE),0)</f>
        <v>549.99</v>
      </c>
      <c r="AQ585" s="44">
        <v>0</v>
      </c>
      <c r="AR585" s="45">
        <f t="shared" si="300"/>
        <v>8799.84</v>
      </c>
      <c r="AS585" s="45">
        <f t="shared" si="277"/>
        <v>11708.93090909091</v>
      </c>
      <c r="AT585" s="45">
        <f t="shared" si="280"/>
        <v>702535.85454545461</v>
      </c>
      <c r="AU585" s="62"/>
      <c r="AV585" s="46"/>
      <c r="AW585" s="47"/>
      <c r="AX585" s="48"/>
      <c r="AY585" s="49"/>
      <c r="BA585" s="48"/>
    </row>
    <row r="586" spans="1:53" ht="19.5" customHeight="1" x14ac:dyDescent="0.25">
      <c r="A586" s="33" t="str">
        <f t="shared" si="278"/>
        <v>63584400,05</v>
      </c>
      <c r="B586" s="33" t="str">
        <f t="shared" si="279"/>
        <v>2090,05</v>
      </c>
      <c r="C586" s="34" t="str">
        <f>VLOOKUP(D586,[1]apoio_Preços_MGS!$A$6:$B$238,2,FALSE)</f>
        <v>RECEPCIONISTA</v>
      </c>
      <c r="D586" s="35">
        <v>209</v>
      </c>
      <c r="E586" s="33" t="str">
        <f>VLOOKUP(D586,[1]apoio_Preços_MGS!$A$6:$F$238,6,FALSE)</f>
        <v>RECEPCIONISTA - DIARISTA DIURNO - 40H</v>
      </c>
      <c r="F586" s="36">
        <f>IFERROR(VLOOKUP(D586,'[1]apoio_cód catmas'!$B$2:$C$863,2,FALSE),0)</f>
        <v>63584</v>
      </c>
      <c r="G586" s="33" t="str">
        <f>IF(H586="N/A",VLOOKUP(F586&amp;40,'[1]apoio_cód catmas'!$A$1:$G$233,4,FALSE),VLOOKUP(F586&amp;H586,'[1]apoio_cód catmas'!$A$1:$G$233,4,FALSE))</f>
        <v>RECEPCIONISTA - 30H, 36H, 40H OU 44H</v>
      </c>
      <c r="H586" s="36">
        <v>40</v>
      </c>
      <c r="I586" s="37">
        <v>0.05</v>
      </c>
      <c r="J586" s="38" t="s">
        <v>46</v>
      </c>
      <c r="K586" s="39">
        <v>2</v>
      </c>
      <c r="L586" s="39">
        <f>K586*56</f>
        <v>112</v>
      </c>
      <c r="M586" s="40">
        <f>VLOOKUP(D586,[1]apoio_Preços_MGS!$A$6:$AN$238,18,FALSE)</f>
        <v>2942.7506015328336</v>
      </c>
      <c r="N586" s="40">
        <f>VLOOKUP(D586,[1]apoio_Preços_MGS!$A$6:$AN$238,19,FALSE)</f>
        <v>0</v>
      </c>
      <c r="O586" s="40">
        <f>VLOOKUP(D586,[1]apoio_Preços_MGS!$A$6:$AN$238,20,FALSE)</f>
        <v>0</v>
      </c>
      <c r="P586" s="40">
        <f>VLOOKUP(D586,[1]apoio_Preços_MGS!$A$6:$AN$238,21,FALSE)</f>
        <v>0</v>
      </c>
      <c r="Q586" s="40">
        <f>VLOOKUP(D586,[1]apoio_Preços_MGS!$A$6:$AN$238,22,FALSE)</f>
        <v>0</v>
      </c>
      <c r="R586" s="40">
        <f>VLOOKUP(D586,[1]apoio_Preços_MGS!$A$6:$AN$238,23,FALSE)</f>
        <v>0</v>
      </c>
      <c r="S586" s="40">
        <f>VLOOKUP(D586,[1]apoio_Preços_MGS!$A$6:$AN$238,24,FALSE)</f>
        <v>0</v>
      </c>
      <c r="T586" s="40">
        <f>VLOOKUP(D586,[1]apoio_Preços_MGS!$A$6:$AN$238,25,FALSE)</f>
        <v>0</v>
      </c>
      <c r="U586" s="40">
        <f t="shared" si="301"/>
        <v>2942.7506015328336</v>
      </c>
      <c r="V586" s="41">
        <v>0.81799999999999995</v>
      </c>
      <c r="W586" s="40">
        <f t="shared" si="302"/>
        <v>2407.1699920538576</v>
      </c>
      <c r="X586" s="40">
        <f>VLOOKUP(D586,[1]apoio_Preços_MGS!$A$6:$AN$238,29,FALSE)</f>
        <v>62.000833333333333</v>
      </c>
      <c r="Y586" s="40">
        <f>VLOOKUP(D586,[1]apoio_Preços_MGS!$A$6:$AN$238,30,FALSE)</f>
        <v>0</v>
      </c>
      <c r="Z586" s="40">
        <f t="shared" si="266"/>
        <v>62.000833333333333</v>
      </c>
      <c r="AA586" s="40">
        <f>VLOOKUP(D586,[1]apoio_Preços_MGS!$A$6:$AN$238,32,FALSE)</f>
        <v>5.6500811549430399</v>
      </c>
      <c r="AB586" s="40">
        <f>VLOOKUP(D586,[1]apoio_Preços_MGS!$A$6:$AN$238,33,FALSE)</f>
        <v>123.68638482918398</v>
      </c>
      <c r="AC586" s="41">
        <f>VLOOKUP(D586,[1]apoio_Preços_MGS!$A$6:$AN$238,34,FALSE)</f>
        <v>3.2562971679721289E-2</v>
      </c>
      <c r="AD586" s="40">
        <f>(U586+W586+Z586+AB586+AA586+VLOOKUP(C586,[1]apoio_Prec_Folha!$A:$S,7,FALSE))*AC586</f>
        <v>198.34928300121047</v>
      </c>
      <c r="AE586" s="42">
        <f>VLOOKUP(D586,[1]apoio_Preços_MGS!$A$6:$AN$238,36,FALSE)</f>
        <v>7.0000000000000007E-2</v>
      </c>
      <c r="AF586" s="40">
        <f>(U586+W586+Z586+AB586+AD586+AA586+VLOOKUP(C586,[1]apoio_Prec_Folha!$A:$S,7,FALSE))*AE586</f>
        <v>440.2721255617829</v>
      </c>
      <c r="AG586" s="40">
        <f t="shared" si="267"/>
        <v>6179.87</v>
      </c>
      <c r="AH586" s="43">
        <f t="shared" si="268"/>
        <v>7206.84</v>
      </c>
      <c r="AI586" s="43">
        <f t="shared" si="269"/>
        <v>14413.68</v>
      </c>
      <c r="AJ586" s="43">
        <f t="shared" si="270"/>
        <v>807166.08000000007</v>
      </c>
      <c r="AK586" s="44">
        <f>VLOOKUP(D586,[1]apoio_Preços_MGS!$A$6:$AN$238,39,FALSE)</f>
        <v>181.81818181818184</v>
      </c>
      <c r="AL586" s="44">
        <f>IF(J586="demais municípios",VLOOKUP(D586,[1]apoio_Preços_MGS!$A$6:$AN$238,39,FALSE),0)</f>
        <v>181.81818181818184</v>
      </c>
      <c r="AM586" s="44">
        <v>0</v>
      </c>
      <c r="AN586" s="45">
        <f t="shared" si="299"/>
        <v>363.63636363636368</v>
      </c>
      <c r="AO586" s="44">
        <f>VLOOKUP(D586,[1]apoio_Preços_MGS!$A$6:$AN$238,40,FALSE)</f>
        <v>549.99</v>
      </c>
      <c r="AP586" s="44">
        <f>IF(J586="demais municípios",VLOOKUP(D586,[1]apoio_Preços_MGS!$A$6:$AN$238,40,FALSE),0)</f>
        <v>549.99</v>
      </c>
      <c r="AQ586" s="44">
        <v>0</v>
      </c>
      <c r="AR586" s="45">
        <f t="shared" si="300"/>
        <v>1099.98</v>
      </c>
      <c r="AS586" s="45">
        <f t="shared" ref="AS586:AS650" si="303">AN586+AR586</f>
        <v>1463.6163636363638</v>
      </c>
      <c r="AT586" s="45">
        <f t="shared" si="280"/>
        <v>87816.981818181826</v>
      </c>
      <c r="AU586" s="62"/>
      <c r="AV586" s="46"/>
      <c r="AW586" s="47"/>
      <c r="AX586" s="48"/>
      <c r="AY586" s="49"/>
      <c r="BA586" s="48"/>
    </row>
    <row r="587" spans="1:53" ht="19.5" customHeight="1" x14ac:dyDescent="0.25">
      <c r="A587" s="33" t="str">
        <f t="shared" ref="A587:A650" si="304">CONCATENATE(F587,H587,I587)</f>
        <v>63584400,05</v>
      </c>
      <c r="B587" s="33" t="str">
        <f t="shared" ref="B587:B650" si="305">CONCATENATE(D587,I587)</f>
        <v>2090,05</v>
      </c>
      <c r="C587" s="34" t="str">
        <f>VLOOKUP(D587,[1]apoio_Preços_MGS!$A$6:$B$238,2,FALSE)</f>
        <v>RECEPCIONISTA</v>
      </c>
      <c r="D587" s="35">
        <v>209</v>
      </c>
      <c r="E587" s="33" t="str">
        <f>VLOOKUP(D587,[1]apoio_Preços_MGS!$A$6:$F$238,6,FALSE)</f>
        <v>RECEPCIONISTA - DIARISTA DIURNO - 40H</v>
      </c>
      <c r="F587" s="36">
        <f>IFERROR(VLOOKUP(D587,'[1]apoio_cód catmas'!$B$2:$C$863,2,FALSE),0)</f>
        <v>63584</v>
      </c>
      <c r="G587" s="33" t="str">
        <f>IF(H587="N/A",VLOOKUP(F587&amp;40,'[1]apoio_cód catmas'!$A$1:$G$233,4,FALSE),VLOOKUP(F587&amp;H587,'[1]apoio_cód catmas'!$A$1:$G$233,4,FALSE))</f>
        <v>RECEPCIONISTA - 30H, 36H, 40H OU 44H</v>
      </c>
      <c r="H587" s="36">
        <v>40</v>
      </c>
      <c r="I587" s="37">
        <v>0.05</v>
      </c>
      <c r="J587" s="38" t="s">
        <v>46</v>
      </c>
      <c r="K587" s="39">
        <f>142-K588-1</f>
        <v>12</v>
      </c>
      <c r="L587" s="39">
        <f t="shared" si="265"/>
        <v>720</v>
      </c>
      <c r="M587" s="40">
        <f>VLOOKUP(D587,[1]apoio_Preços_MGS!$A$6:$AN$238,18,FALSE)</f>
        <v>2942.7506015328336</v>
      </c>
      <c r="N587" s="40">
        <f>VLOOKUP(D587,[1]apoio_Preços_MGS!$A$6:$AN$238,19,FALSE)</f>
        <v>0</v>
      </c>
      <c r="O587" s="40">
        <f>VLOOKUP(D587,[1]apoio_Preços_MGS!$A$6:$AN$238,20,FALSE)</f>
        <v>0</v>
      </c>
      <c r="P587" s="40">
        <f>VLOOKUP(D587,[1]apoio_Preços_MGS!$A$6:$AN$238,21,FALSE)</f>
        <v>0</v>
      </c>
      <c r="Q587" s="40">
        <f>VLOOKUP(D587,[1]apoio_Preços_MGS!$A$6:$AN$238,22,FALSE)</f>
        <v>0</v>
      </c>
      <c r="R587" s="40">
        <f>VLOOKUP(D587,[1]apoio_Preços_MGS!$A$6:$AN$238,23,FALSE)</f>
        <v>0</v>
      </c>
      <c r="S587" s="40">
        <f>VLOOKUP(D587,[1]apoio_Preços_MGS!$A$6:$AN$238,24,FALSE)</f>
        <v>0</v>
      </c>
      <c r="T587" s="40">
        <f>VLOOKUP(D587,[1]apoio_Preços_MGS!$A$6:$AN$238,25,FALSE)</f>
        <v>0</v>
      </c>
      <c r="U587" s="40">
        <f t="shared" si="301"/>
        <v>2942.7506015328336</v>
      </c>
      <c r="V587" s="41">
        <v>0.81799999999999995</v>
      </c>
      <c r="W587" s="40">
        <f t="shared" si="302"/>
        <v>2407.1699920538576</v>
      </c>
      <c r="X587" s="40">
        <f>VLOOKUP(D587,[1]apoio_Preços_MGS!$A$6:$AN$238,29,FALSE)</f>
        <v>62.000833333333333</v>
      </c>
      <c r="Y587" s="40">
        <f>VLOOKUP(D587,[1]apoio_Preços_MGS!$A$6:$AN$238,30,FALSE)</f>
        <v>0</v>
      </c>
      <c r="Z587" s="40">
        <f t="shared" si="266"/>
        <v>62.000833333333333</v>
      </c>
      <c r="AA587" s="40">
        <f>VLOOKUP(D587,[1]apoio_Preços_MGS!$A$6:$AN$238,32,FALSE)</f>
        <v>5.6500811549430399</v>
      </c>
      <c r="AB587" s="40">
        <f>VLOOKUP(D587,[1]apoio_Preços_MGS!$A$6:$AN$238,33,FALSE)</f>
        <v>123.68638482918398</v>
      </c>
      <c r="AC587" s="41">
        <f>VLOOKUP(D587,[1]apoio_Preços_MGS!$A$6:$AN$238,34,FALSE)</f>
        <v>3.2562971679721289E-2</v>
      </c>
      <c r="AD587" s="40">
        <f>(U587+W587+Z587+AB587+AA587+VLOOKUP(C587,[1]apoio_Prec_Folha!$A:$S,7,FALSE))*AC587</f>
        <v>198.34928300121047</v>
      </c>
      <c r="AE587" s="42">
        <f>VLOOKUP(D587,[1]apoio_Preços_MGS!$A$6:$AN$238,36,FALSE)</f>
        <v>7.0000000000000007E-2</v>
      </c>
      <c r="AF587" s="40">
        <f>(U587+W587+Z587+AB587+AD587+AA587+VLOOKUP(C587,[1]apoio_Prec_Folha!$A:$S,7,FALSE))*AE587</f>
        <v>440.2721255617829</v>
      </c>
      <c r="AG587" s="40">
        <f t="shared" si="267"/>
        <v>6179.87</v>
      </c>
      <c r="AH587" s="43">
        <f t="shared" si="268"/>
        <v>7206.84</v>
      </c>
      <c r="AI587" s="43">
        <f t="shared" si="269"/>
        <v>86482.08</v>
      </c>
      <c r="AJ587" s="43">
        <f t="shared" si="270"/>
        <v>5188924.8</v>
      </c>
      <c r="AK587" s="44">
        <f>VLOOKUP(D587,[1]apoio_Preços_MGS!$A$6:$AN$238,39,FALSE)</f>
        <v>181.81818181818184</v>
      </c>
      <c r="AL587" s="44">
        <f>IF(J587="demais municípios",VLOOKUP(D587,[1]apoio_Preços_MGS!$A$6:$AN$238,39,FALSE),0)</f>
        <v>181.81818181818184</v>
      </c>
      <c r="AM587" s="44">
        <v>0</v>
      </c>
      <c r="AN587" s="45">
        <f t="shared" si="299"/>
        <v>2181.818181818182</v>
      </c>
      <c r="AO587" s="44">
        <f>VLOOKUP(D587,[1]apoio_Preços_MGS!$A$6:$AN$238,40,FALSE)</f>
        <v>549.99</v>
      </c>
      <c r="AP587" s="44">
        <f>IF(J587="demais municípios",VLOOKUP(D587,[1]apoio_Preços_MGS!$A$6:$AN$238,40,FALSE),0)</f>
        <v>549.99</v>
      </c>
      <c r="AQ587" s="44">
        <v>0</v>
      </c>
      <c r="AR587" s="45">
        <f t="shared" si="300"/>
        <v>6599.88</v>
      </c>
      <c r="AS587" s="45">
        <f t="shared" si="303"/>
        <v>8781.6981818181812</v>
      </c>
      <c r="AT587" s="45">
        <f t="shared" ref="AT587:AT651" si="306">(AN587+AR587)*60</f>
        <v>526901.89090909087</v>
      </c>
      <c r="AU587" s="62"/>
      <c r="AV587" s="46"/>
      <c r="AW587" s="47"/>
      <c r="AX587" s="48"/>
      <c r="AY587" s="49"/>
      <c r="BA587" s="48"/>
    </row>
    <row r="588" spans="1:53" ht="19.5" customHeight="1" x14ac:dyDescent="0.25">
      <c r="A588" s="33" t="str">
        <f t="shared" si="304"/>
        <v>63584400,05</v>
      </c>
      <c r="B588" s="33" t="str">
        <f t="shared" si="305"/>
        <v>2090,05</v>
      </c>
      <c r="C588" s="34" t="str">
        <f>VLOOKUP(D588,[1]apoio_Preços_MGS!$A$6:$B$238,2,FALSE)</f>
        <v>RECEPCIONISTA</v>
      </c>
      <c r="D588" s="35">
        <v>209</v>
      </c>
      <c r="E588" s="33" t="str">
        <f>VLOOKUP(D588,[1]apoio_Preços_MGS!$A$6:$F$238,6,FALSE)</f>
        <v>RECEPCIONISTA - DIARISTA DIURNO - 40H</v>
      </c>
      <c r="F588" s="36">
        <f>IFERROR(VLOOKUP(D588,'[1]apoio_cód catmas'!$B$2:$C$863,2,FALSE),0)</f>
        <v>63584</v>
      </c>
      <c r="G588" s="33" t="str">
        <f>IF(H588="N/A",VLOOKUP(F588&amp;40,'[1]apoio_cód catmas'!$A$1:$G$233,4,FALSE),VLOOKUP(F588&amp;H588,'[1]apoio_cód catmas'!$A$1:$G$233,4,FALSE))</f>
        <v>RECEPCIONISTA - 30H, 36H, 40H OU 44H</v>
      </c>
      <c r="H588" s="36">
        <v>40</v>
      </c>
      <c r="I588" s="37">
        <v>0.05</v>
      </c>
      <c r="J588" s="38" t="s">
        <v>47</v>
      </c>
      <c r="K588" s="39">
        <v>129</v>
      </c>
      <c r="L588" s="39">
        <f t="shared" ref="L588:L650" si="307">K588*60</f>
        <v>7740</v>
      </c>
      <c r="M588" s="40">
        <f>VLOOKUP(D588,[1]apoio_Preços_MGS!$A$6:$AN$238,18,FALSE)</f>
        <v>2942.7506015328336</v>
      </c>
      <c r="N588" s="40">
        <f>VLOOKUP(D588,[1]apoio_Preços_MGS!$A$6:$AN$238,19,FALSE)</f>
        <v>0</v>
      </c>
      <c r="O588" s="40">
        <f>VLOOKUP(D588,[1]apoio_Preços_MGS!$A$6:$AN$238,20,FALSE)</f>
        <v>0</v>
      </c>
      <c r="P588" s="40">
        <f>VLOOKUP(D588,[1]apoio_Preços_MGS!$A$6:$AN$238,21,FALSE)</f>
        <v>0</v>
      </c>
      <c r="Q588" s="40">
        <f>VLOOKUP(D588,[1]apoio_Preços_MGS!$A$6:$AN$238,22,FALSE)</f>
        <v>0</v>
      </c>
      <c r="R588" s="40">
        <f>VLOOKUP(D588,[1]apoio_Preços_MGS!$A$6:$AN$238,23,FALSE)</f>
        <v>0</v>
      </c>
      <c r="S588" s="40">
        <f>VLOOKUP(D588,[1]apoio_Preços_MGS!$A$6:$AN$238,24,FALSE)</f>
        <v>0</v>
      </c>
      <c r="T588" s="40">
        <f>VLOOKUP(D588,[1]apoio_Preços_MGS!$A$6:$AN$238,25,FALSE)</f>
        <v>0</v>
      </c>
      <c r="U588" s="40">
        <f t="shared" si="301"/>
        <v>2942.7506015328336</v>
      </c>
      <c r="V588" s="41">
        <v>0.81799999999999995</v>
      </c>
      <c r="W588" s="40">
        <f t="shared" si="302"/>
        <v>2407.1699920538576</v>
      </c>
      <c r="X588" s="40">
        <f>VLOOKUP(D588,[1]apoio_Preços_MGS!$A$6:$AN$238,29,FALSE)</f>
        <v>62.000833333333333</v>
      </c>
      <c r="Y588" s="40">
        <f>VLOOKUP(D588,[1]apoio_Preços_MGS!$A$6:$AN$238,30,FALSE)</f>
        <v>0</v>
      </c>
      <c r="Z588" s="40">
        <f t="shared" si="266"/>
        <v>62.000833333333333</v>
      </c>
      <c r="AA588" s="40">
        <f>VLOOKUP(D588,[1]apoio_Preços_MGS!$A$6:$AN$238,32,FALSE)</f>
        <v>5.6500811549430399</v>
      </c>
      <c r="AB588" s="40">
        <f>VLOOKUP(D588,[1]apoio_Preços_MGS!$A$6:$AN$238,33,FALSE)</f>
        <v>123.68638482918398</v>
      </c>
      <c r="AC588" s="41">
        <f>VLOOKUP(D588,[1]apoio_Preços_MGS!$A$6:$AN$238,34,FALSE)</f>
        <v>3.2562971679721289E-2</v>
      </c>
      <c r="AD588" s="40">
        <f>(U588+W588+Z588+AB588+AA588+VLOOKUP(C588,[1]apoio_Prec_Folha!$A:$S,7,FALSE))*AC588</f>
        <v>198.34928300121047</v>
      </c>
      <c r="AE588" s="42">
        <f>VLOOKUP(D588,[1]apoio_Preços_MGS!$A$6:$AN$238,36,FALSE)</f>
        <v>7.0000000000000007E-2</v>
      </c>
      <c r="AF588" s="40">
        <f>(U588+W588+Z588+AB588+AD588+AA588+VLOOKUP(C588,[1]apoio_Prec_Folha!$A:$S,7,FALSE))*AE588</f>
        <v>440.2721255617829</v>
      </c>
      <c r="AG588" s="40">
        <f t="shared" si="267"/>
        <v>6179.87</v>
      </c>
      <c r="AH588" s="43">
        <f t="shared" si="268"/>
        <v>7206.84</v>
      </c>
      <c r="AI588" s="43">
        <f t="shared" si="269"/>
        <v>929682.36</v>
      </c>
      <c r="AJ588" s="43">
        <f t="shared" si="270"/>
        <v>55780941.600000001</v>
      </c>
      <c r="AK588" s="44">
        <f>VLOOKUP(D588,[1]apoio_Preços_MGS!$A$6:$AN$238,39,FALSE)</f>
        <v>181.81818181818184</v>
      </c>
      <c r="AL588" s="44">
        <f>IF(J588="demais municípios",VLOOKUP(D588,[1]apoio_Preços_MGS!$A$6:$AN$238,39,FALSE),0)</f>
        <v>0</v>
      </c>
      <c r="AM588" s="44">
        <f>TRUNC(ROUND(($I588)/(1-($I588)),5)*VLOOKUP(D588,[1]apoio_Preços_MGS!$A$6:$AN$238,39,FALSE)+VLOOKUP(D588,[1]apoio_Preços_MGS!$A$6:$AN$238,39,FALSE),2)</f>
        <v>191.38</v>
      </c>
      <c r="AN588" s="45">
        <f t="shared" ref="AN588:AN647" si="308">AM588*K588</f>
        <v>24688.02</v>
      </c>
      <c r="AO588" s="44">
        <f>VLOOKUP(D588,[1]apoio_Preços_MGS!$A$6:$AN$238,40,FALSE)</f>
        <v>549.99</v>
      </c>
      <c r="AP588" s="44">
        <f>IF(J588="demais municípios",VLOOKUP(D588,[1]apoio_Preços_MGS!$A$6:$AN$238,40,FALSE),0)</f>
        <v>0</v>
      </c>
      <c r="AQ588" s="44">
        <f>TRUNC(ROUND(($I588)/(1-($I588)),5)*VLOOKUP(D588,[1]apoio_Preços_MGS!$A$6:$AN$238,40,FALSE)+VLOOKUP(D588,[1]apoio_Preços_MGS!$A$6:$AN$238,40,FALSE),2)</f>
        <v>578.92999999999995</v>
      </c>
      <c r="AR588" s="45">
        <f t="shared" ref="AR588:AR647" si="309">AQ588*K588</f>
        <v>74681.969999999987</v>
      </c>
      <c r="AS588" s="45">
        <f t="shared" si="303"/>
        <v>99369.989999999991</v>
      </c>
      <c r="AT588" s="45">
        <f t="shared" si="306"/>
        <v>5962199.3999999994</v>
      </c>
      <c r="AU588" s="62"/>
      <c r="AV588" s="46"/>
      <c r="AW588" s="47"/>
      <c r="AX588" s="48"/>
      <c r="AY588" s="49"/>
      <c r="BA588" s="48"/>
    </row>
    <row r="589" spans="1:53" ht="19.5" customHeight="1" x14ac:dyDescent="0.25">
      <c r="A589" s="33" t="str">
        <f t="shared" si="304"/>
        <v>63584440,02</v>
      </c>
      <c r="B589" s="33" t="str">
        <f t="shared" si="305"/>
        <v>2080,02</v>
      </c>
      <c r="C589" s="34" t="str">
        <f>VLOOKUP(D589,[1]apoio_Preços_MGS!$A$6:$B$238,2,FALSE)</f>
        <v>RECEPCIONISTA</v>
      </c>
      <c r="D589" s="35">
        <v>208</v>
      </c>
      <c r="E589" s="33" t="str">
        <f>VLOOKUP(D589,[1]apoio_Preços_MGS!$A$6:$F$238,6,FALSE)</f>
        <v>RECEPCIONISTA - DIARISTA DIURNO - 44H</v>
      </c>
      <c r="F589" s="36">
        <f>IFERROR(VLOOKUP(D589,'[1]apoio_cód catmas'!$B$2:$C$863,2,FALSE),0)</f>
        <v>63584</v>
      </c>
      <c r="G589" s="33" t="str">
        <f>IF(H589="N/A",VLOOKUP(F589&amp;40,'[1]apoio_cód catmas'!$A$1:$G$233,4,FALSE),VLOOKUP(F589&amp;H589,'[1]apoio_cód catmas'!$A$1:$G$233,4,FALSE))</f>
        <v>RECEPCIONISTA - 30H, 36H, 40H OU 44H</v>
      </c>
      <c r="H589" s="36">
        <v>44</v>
      </c>
      <c r="I589" s="37">
        <v>0.02</v>
      </c>
      <c r="J589" s="38" t="s">
        <v>46</v>
      </c>
      <c r="K589" s="39">
        <v>6</v>
      </c>
      <c r="L589" s="39">
        <f t="shared" si="307"/>
        <v>360</v>
      </c>
      <c r="M589" s="40">
        <f>VLOOKUP(D589,[1]apoio_Preços_MGS!$A$6:$AN$238,18,FALSE)</f>
        <v>3237.025661686117</v>
      </c>
      <c r="N589" s="40">
        <f>VLOOKUP(D589,[1]apoio_Preços_MGS!$A$6:$AN$238,19,FALSE)</f>
        <v>0</v>
      </c>
      <c r="O589" s="40">
        <f>VLOOKUP(D589,[1]apoio_Preços_MGS!$A$6:$AN$238,20,FALSE)</f>
        <v>0</v>
      </c>
      <c r="P589" s="40">
        <f>VLOOKUP(D589,[1]apoio_Preços_MGS!$A$6:$AN$238,21,FALSE)</f>
        <v>0</v>
      </c>
      <c r="Q589" s="40">
        <f>VLOOKUP(D589,[1]apoio_Preços_MGS!$A$6:$AN$238,22,FALSE)</f>
        <v>0</v>
      </c>
      <c r="R589" s="40">
        <f>VLOOKUP(D589,[1]apoio_Preços_MGS!$A$6:$AN$238,23,FALSE)</f>
        <v>0</v>
      </c>
      <c r="S589" s="40">
        <f>VLOOKUP(D589,[1]apoio_Preços_MGS!$A$6:$AN$238,24,FALSE)</f>
        <v>0</v>
      </c>
      <c r="T589" s="40">
        <f>VLOOKUP(D589,[1]apoio_Preços_MGS!$A$6:$AN$238,25,FALSE)</f>
        <v>0</v>
      </c>
      <c r="U589" s="40">
        <f t="shared" si="301"/>
        <v>3237.025661686117</v>
      </c>
      <c r="V589" s="41">
        <v>0.81799999999999995</v>
      </c>
      <c r="W589" s="40">
        <f t="shared" si="302"/>
        <v>2647.8869912592436</v>
      </c>
      <c r="X589" s="40">
        <f>VLOOKUP(D589,[1]apoio_Preços_MGS!$A$6:$AN$238,29,FALSE)</f>
        <v>62.000833333333333</v>
      </c>
      <c r="Y589" s="40">
        <f>VLOOKUP(D589,[1]apoio_Preços_MGS!$A$6:$AN$238,30,FALSE)</f>
        <v>0</v>
      </c>
      <c r="Z589" s="40">
        <f t="shared" si="266"/>
        <v>62.000833333333333</v>
      </c>
      <c r="AA589" s="40">
        <f>VLOOKUP(D589,[1]apoio_Preços_MGS!$A$6:$AN$238,32,FALSE)</f>
        <v>6.2150892704373444</v>
      </c>
      <c r="AB589" s="40">
        <f>VLOOKUP(D589,[1]apoio_Preços_MGS!$A$6:$AN$238,33,FALSE)</f>
        <v>113.64067261146543</v>
      </c>
      <c r="AC589" s="41">
        <f>VLOOKUP(D589,[1]apoio_Preços_MGS!$A$6:$AN$238,34,FALSE)</f>
        <v>3.2562971679721289E-2</v>
      </c>
      <c r="AD589" s="40">
        <f>(U589+W589+Z589+AB589+AA589+VLOOKUP(C589,[1]apoio_Prec_Folha!$A:$S,7,FALSE))*AC589</f>
        <v>215.46149437979804</v>
      </c>
      <c r="AE589" s="42">
        <f>VLOOKUP(D589,[1]apoio_Preços_MGS!$A$6:$AN$238,36,FALSE)</f>
        <v>7.0000000000000007E-2</v>
      </c>
      <c r="AF589" s="40">
        <f>(U589+W589+Z589+AB589+AD589+AA589+VLOOKUP(C589,[1]apoio_Prec_Folha!$A:$S,7,FALSE))*AE589</f>
        <v>478.25577522623524</v>
      </c>
      <c r="AG589" s="40">
        <f t="shared" si="267"/>
        <v>6760.48</v>
      </c>
      <c r="AH589" s="43">
        <f t="shared" si="268"/>
        <v>7617.43</v>
      </c>
      <c r="AI589" s="43">
        <f t="shared" si="269"/>
        <v>45704.58</v>
      </c>
      <c r="AJ589" s="43">
        <f t="shared" si="270"/>
        <v>2742274.8000000003</v>
      </c>
      <c r="AK589" s="44">
        <f>VLOOKUP(D589,[1]apoio_Preços_MGS!$A$6:$AN$238,39,FALSE)</f>
        <v>200.00000000000003</v>
      </c>
      <c r="AL589" s="44">
        <f>IF(J589="demais municípios",VLOOKUP(D589,[1]apoio_Preços_MGS!$A$6:$AN$238,39,FALSE),0)</f>
        <v>200.00000000000003</v>
      </c>
      <c r="AM589" s="44">
        <v>0</v>
      </c>
      <c r="AN589" s="45">
        <f t="shared" ref="AN589:AN596" si="310">AK589*K589</f>
        <v>1200.0000000000002</v>
      </c>
      <c r="AO589" s="44">
        <f>VLOOKUP(D589,[1]apoio_Preços_MGS!$A$6:$AN$238,40,FALSE)</f>
        <v>549.99</v>
      </c>
      <c r="AP589" s="44">
        <f>IF(J589="demais municípios",VLOOKUP(D589,[1]apoio_Preços_MGS!$A$6:$AN$238,40,FALSE),0)</f>
        <v>549.99</v>
      </c>
      <c r="AQ589" s="44">
        <v>0</v>
      </c>
      <c r="AR589" s="45">
        <f t="shared" ref="AR589:AR596" si="311">AO589*K589</f>
        <v>3299.94</v>
      </c>
      <c r="AS589" s="45">
        <f t="shared" si="303"/>
        <v>4499.9400000000005</v>
      </c>
      <c r="AT589" s="45">
        <f t="shared" si="306"/>
        <v>269996.40000000002</v>
      </c>
      <c r="AU589" s="62"/>
      <c r="AV589" s="46"/>
      <c r="AW589" s="47"/>
      <c r="AX589" s="48"/>
      <c r="AY589" s="49"/>
      <c r="BA589" s="48"/>
    </row>
    <row r="590" spans="1:53" ht="19.5" customHeight="1" x14ac:dyDescent="0.25">
      <c r="A590" s="33" t="str">
        <f t="shared" si="304"/>
        <v>63584440,025</v>
      </c>
      <c r="B590" s="33" t="str">
        <f t="shared" si="305"/>
        <v>2080,025</v>
      </c>
      <c r="C590" s="34" t="str">
        <f>VLOOKUP(D590,[1]apoio_Preços_MGS!$A$6:$B$238,2,FALSE)</f>
        <v>RECEPCIONISTA</v>
      </c>
      <c r="D590" s="35">
        <v>208</v>
      </c>
      <c r="E590" s="33" t="str">
        <f>VLOOKUP(D590,[1]apoio_Preços_MGS!$A$6:$F$238,6,FALSE)</f>
        <v>RECEPCIONISTA - DIARISTA DIURNO - 44H</v>
      </c>
      <c r="F590" s="36">
        <f>IFERROR(VLOOKUP(D590,'[1]apoio_cód catmas'!$B$2:$C$863,2,FALSE),0)</f>
        <v>63584</v>
      </c>
      <c r="G590" s="33" t="str">
        <f>IF(H590="N/A",VLOOKUP(F590&amp;40,'[1]apoio_cód catmas'!$A$1:$G$233,4,FALSE),VLOOKUP(F590&amp;H590,'[1]apoio_cód catmas'!$A$1:$G$233,4,FALSE))</f>
        <v>RECEPCIONISTA - 30H, 36H, 40H OU 44H</v>
      </c>
      <c r="H590" s="36">
        <v>44</v>
      </c>
      <c r="I590" s="37">
        <v>2.5000000000000001E-2</v>
      </c>
      <c r="J590" s="38" t="s">
        <v>46</v>
      </c>
      <c r="K590" s="39">
        <v>2</v>
      </c>
      <c r="L590" s="39">
        <f t="shared" si="307"/>
        <v>120</v>
      </c>
      <c r="M590" s="40">
        <f>VLOOKUP(D590,[1]apoio_Preços_MGS!$A$6:$AN$238,18,FALSE)</f>
        <v>3237.025661686117</v>
      </c>
      <c r="N590" s="40">
        <f>VLOOKUP(D590,[1]apoio_Preços_MGS!$A$6:$AN$238,19,FALSE)</f>
        <v>0</v>
      </c>
      <c r="O590" s="40">
        <f>VLOOKUP(D590,[1]apoio_Preços_MGS!$A$6:$AN$238,20,FALSE)</f>
        <v>0</v>
      </c>
      <c r="P590" s="40">
        <f>VLOOKUP(D590,[1]apoio_Preços_MGS!$A$6:$AN$238,21,FALSE)</f>
        <v>0</v>
      </c>
      <c r="Q590" s="40">
        <f>VLOOKUP(D590,[1]apoio_Preços_MGS!$A$6:$AN$238,22,FALSE)</f>
        <v>0</v>
      </c>
      <c r="R590" s="40">
        <f>VLOOKUP(D590,[1]apoio_Preços_MGS!$A$6:$AN$238,23,FALSE)</f>
        <v>0</v>
      </c>
      <c r="S590" s="40">
        <f>VLOOKUP(D590,[1]apoio_Preços_MGS!$A$6:$AN$238,24,FALSE)</f>
        <v>0</v>
      </c>
      <c r="T590" s="40">
        <f>VLOOKUP(D590,[1]apoio_Preços_MGS!$A$6:$AN$238,25,FALSE)</f>
        <v>0</v>
      </c>
      <c r="U590" s="40">
        <f t="shared" si="301"/>
        <v>3237.025661686117</v>
      </c>
      <c r="V590" s="41">
        <v>0.81799999999999995</v>
      </c>
      <c r="W590" s="40">
        <f t="shared" si="302"/>
        <v>2647.8869912592436</v>
      </c>
      <c r="X590" s="40">
        <f>VLOOKUP(D590,[1]apoio_Preços_MGS!$A$6:$AN$238,29,FALSE)</f>
        <v>62.000833333333333</v>
      </c>
      <c r="Y590" s="40">
        <f>VLOOKUP(D590,[1]apoio_Preços_MGS!$A$6:$AN$238,30,FALSE)</f>
        <v>0</v>
      </c>
      <c r="Z590" s="40">
        <f t="shared" si="266"/>
        <v>62.000833333333333</v>
      </c>
      <c r="AA590" s="40">
        <f>VLOOKUP(D590,[1]apoio_Preços_MGS!$A$6:$AN$238,32,FALSE)</f>
        <v>6.2150892704373444</v>
      </c>
      <c r="AB590" s="40">
        <f>VLOOKUP(D590,[1]apoio_Preços_MGS!$A$6:$AN$238,33,FALSE)</f>
        <v>113.64067261146543</v>
      </c>
      <c r="AC590" s="41">
        <f>VLOOKUP(D590,[1]apoio_Preços_MGS!$A$6:$AN$238,34,FALSE)</f>
        <v>3.2562971679721289E-2</v>
      </c>
      <c r="AD590" s="40">
        <f>(U590+W590+Z590+AB590+AA590+VLOOKUP(C590,[1]apoio_Prec_Folha!$A:$S,7,FALSE))*AC590</f>
        <v>215.46149437979804</v>
      </c>
      <c r="AE590" s="42">
        <f>VLOOKUP(D590,[1]apoio_Preços_MGS!$A$6:$AN$238,36,FALSE)</f>
        <v>7.0000000000000007E-2</v>
      </c>
      <c r="AF590" s="40">
        <f>(U590+W590+Z590+AB590+AD590+AA590+VLOOKUP(C590,[1]apoio_Prec_Folha!$A:$S,7,FALSE))*AE590</f>
        <v>478.25577522623524</v>
      </c>
      <c r="AG590" s="40">
        <f t="shared" si="267"/>
        <v>6760.48</v>
      </c>
      <c r="AH590" s="43">
        <f t="shared" si="268"/>
        <v>7660.57</v>
      </c>
      <c r="AI590" s="43">
        <f t="shared" si="269"/>
        <v>15321.14</v>
      </c>
      <c r="AJ590" s="43">
        <f t="shared" si="270"/>
        <v>919268.39999999991</v>
      </c>
      <c r="AK590" s="44">
        <f>VLOOKUP(D590,[1]apoio_Preços_MGS!$A$6:$AN$238,39,FALSE)</f>
        <v>200.00000000000003</v>
      </c>
      <c r="AL590" s="44">
        <f>IF(J590="demais municípios",VLOOKUP(D590,[1]apoio_Preços_MGS!$A$6:$AN$238,39,FALSE),0)</f>
        <v>200.00000000000003</v>
      </c>
      <c r="AM590" s="44">
        <v>0</v>
      </c>
      <c r="AN590" s="45">
        <f t="shared" si="310"/>
        <v>400.00000000000006</v>
      </c>
      <c r="AO590" s="44">
        <f>VLOOKUP(D590,[1]apoio_Preços_MGS!$A$6:$AN$238,40,FALSE)</f>
        <v>549.99</v>
      </c>
      <c r="AP590" s="44">
        <f>IF(J590="demais municípios",VLOOKUP(D590,[1]apoio_Preços_MGS!$A$6:$AN$238,40,FALSE),0)</f>
        <v>549.99</v>
      </c>
      <c r="AQ590" s="44">
        <v>0</v>
      </c>
      <c r="AR590" s="45">
        <f t="shared" si="311"/>
        <v>1099.98</v>
      </c>
      <c r="AS590" s="45">
        <f t="shared" si="303"/>
        <v>1499.98</v>
      </c>
      <c r="AT590" s="45">
        <f t="shared" si="306"/>
        <v>89998.8</v>
      </c>
      <c r="AU590" s="62"/>
      <c r="AV590" s="46"/>
      <c r="AW590" s="47"/>
      <c r="AX590" s="48"/>
      <c r="AY590" s="49"/>
      <c r="BA590" s="48"/>
    </row>
    <row r="591" spans="1:53" ht="19.5" customHeight="1" x14ac:dyDescent="0.25">
      <c r="A591" s="33" t="str">
        <f t="shared" si="304"/>
        <v>63584440,03</v>
      </c>
      <c r="B591" s="33" t="str">
        <f t="shared" si="305"/>
        <v>2080,03</v>
      </c>
      <c r="C591" s="34" t="str">
        <f>VLOOKUP(D591,[1]apoio_Preços_MGS!$A$6:$B$238,2,FALSE)</f>
        <v>RECEPCIONISTA</v>
      </c>
      <c r="D591" s="35">
        <v>208</v>
      </c>
      <c r="E591" s="33" t="str">
        <f>VLOOKUP(D591,[1]apoio_Preços_MGS!$A$6:$F$238,6,FALSE)</f>
        <v>RECEPCIONISTA - DIARISTA DIURNO - 44H</v>
      </c>
      <c r="F591" s="36">
        <f>IFERROR(VLOOKUP(D591,'[1]apoio_cód catmas'!$B$2:$C$863,2,FALSE),0)</f>
        <v>63584</v>
      </c>
      <c r="G591" s="33" t="str">
        <f>IF(H591="N/A",VLOOKUP(F591&amp;40,'[1]apoio_cód catmas'!$A$1:$G$233,4,FALSE),VLOOKUP(F591&amp;H591,'[1]apoio_cód catmas'!$A$1:$G$233,4,FALSE))</f>
        <v>RECEPCIONISTA - 30H, 36H, 40H OU 44H</v>
      </c>
      <c r="H591" s="36">
        <v>44</v>
      </c>
      <c r="I591" s="37">
        <v>0.03</v>
      </c>
      <c r="J591" s="38" t="s">
        <v>46</v>
      </c>
      <c r="K591" s="39">
        <f>54-1</f>
        <v>53</v>
      </c>
      <c r="L591" s="39">
        <f t="shared" si="307"/>
        <v>3180</v>
      </c>
      <c r="M591" s="40">
        <f>VLOOKUP(D591,[1]apoio_Preços_MGS!$A$6:$AN$238,18,FALSE)</f>
        <v>3237.025661686117</v>
      </c>
      <c r="N591" s="40">
        <f>VLOOKUP(D591,[1]apoio_Preços_MGS!$A$6:$AN$238,19,FALSE)</f>
        <v>0</v>
      </c>
      <c r="O591" s="40">
        <f>VLOOKUP(D591,[1]apoio_Preços_MGS!$A$6:$AN$238,20,FALSE)</f>
        <v>0</v>
      </c>
      <c r="P591" s="40">
        <f>VLOOKUP(D591,[1]apoio_Preços_MGS!$A$6:$AN$238,21,FALSE)</f>
        <v>0</v>
      </c>
      <c r="Q591" s="40">
        <f>VLOOKUP(D591,[1]apoio_Preços_MGS!$A$6:$AN$238,22,FALSE)</f>
        <v>0</v>
      </c>
      <c r="R591" s="40">
        <f>VLOOKUP(D591,[1]apoio_Preços_MGS!$A$6:$AN$238,23,FALSE)</f>
        <v>0</v>
      </c>
      <c r="S591" s="40">
        <f>VLOOKUP(D591,[1]apoio_Preços_MGS!$A$6:$AN$238,24,FALSE)</f>
        <v>0</v>
      </c>
      <c r="T591" s="40">
        <f>VLOOKUP(D591,[1]apoio_Preços_MGS!$A$6:$AN$238,25,FALSE)</f>
        <v>0</v>
      </c>
      <c r="U591" s="40">
        <f t="shared" si="301"/>
        <v>3237.025661686117</v>
      </c>
      <c r="V591" s="41">
        <v>0.81799999999999995</v>
      </c>
      <c r="W591" s="40">
        <f t="shared" si="302"/>
        <v>2647.8869912592436</v>
      </c>
      <c r="X591" s="40">
        <f>VLOOKUP(D591,[1]apoio_Preços_MGS!$A$6:$AN$238,29,FALSE)</f>
        <v>62.000833333333333</v>
      </c>
      <c r="Y591" s="40">
        <f>VLOOKUP(D591,[1]apoio_Preços_MGS!$A$6:$AN$238,30,FALSE)</f>
        <v>0</v>
      </c>
      <c r="Z591" s="40">
        <f t="shared" si="266"/>
        <v>62.000833333333333</v>
      </c>
      <c r="AA591" s="40">
        <f>VLOOKUP(D591,[1]apoio_Preços_MGS!$A$6:$AN$238,32,FALSE)</f>
        <v>6.2150892704373444</v>
      </c>
      <c r="AB591" s="40">
        <f>VLOOKUP(D591,[1]apoio_Preços_MGS!$A$6:$AN$238,33,FALSE)</f>
        <v>113.64067261146543</v>
      </c>
      <c r="AC591" s="41">
        <f>VLOOKUP(D591,[1]apoio_Preços_MGS!$A$6:$AN$238,34,FALSE)</f>
        <v>3.2562971679721289E-2</v>
      </c>
      <c r="AD591" s="40">
        <f>(U591+W591+Z591+AB591+AA591+VLOOKUP(C591,[1]apoio_Prec_Folha!$A:$S,7,FALSE))*AC591</f>
        <v>215.46149437979804</v>
      </c>
      <c r="AE591" s="42">
        <f>VLOOKUP(D591,[1]apoio_Preços_MGS!$A$6:$AN$238,36,FALSE)</f>
        <v>7.0000000000000007E-2</v>
      </c>
      <c r="AF591" s="40">
        <f>(U591+W591+Z591+AB591+AD591+AA591+VLOOKUP(C591,[1]apoio_Prec_Folha!$A:$S,7,FALSE))*AE591</f>
        <v>478.25577522623524</v>
      </c>
      <c r="AG591" s="40">
        <f t="shared" si="267"/>
        <v>6760.48</v>
      </c>
      <c r="AH591" s="43">
        <f t="shared" si="268"/>
        <v>7704.24</v>
      </c>
      <c r="AI591" s="43">
        <f t="shared" si="269"/>
        <v>408324.72</v>
      </c>
      <c r="AJ591" s="43">
        <f t="shared" si="270"/>
        <v>24499483.199999999</v>
      </c>
      <c r="AK591" s="44">
        <f>VLOOKUP(D591,[1]apoio_Preços_MGS!$A$6:$AN$238,39,FALSE)</f>
        <v>200.00000000000003</v>
      </c>
      <c r="AL591" s="44">
        <f>IF(J591="demais municípios",VLOOKUP(D591,[1]apoio_Preços_MGS!$A$6:$AN$238,39,FALSE),0)</f>
        <v>200.00000000000003</v>
      </c>
      <c r="AM591" s="44">
        <v>0</v>
      </c>
      <c r="AN591" s="45">
        <f t="shared" si="310"/>
        <v>10600.000000000002</v>
      </c>
      <c r="AO591" s="44">
        <f>VLOOKUP(D591,[1]apoio_Preços_MGS!$A$6:$AN$238,40,FALSE)</f>
        <v>549.99</v>
      </c>
      <c r="AP591" s="44">
        <f>IF(J591="demais municípios",VLOOKUP(D591,[1]apoio_Preços_MGS!$A$6:$AN$238,40,FALSE),0)</f>
        <v>549.99</v>
      </c>
      <c r="AQ591" s="44">
        <v>0</v>
      </c>
      <c r="AR591" s="45">
        <f t="shared" si="311"/>
        <v>29149.47</v>
      </c>
      <c r="AS591" s="45">
        <f t="shared" si="303"/>
        <v>39749.47</v>
      </c>
      <c r="AT591" s="45">
        <f t="shared" si="306"/>
        <v>2384968.2000000002</v>
      </c>
      <c r="AU591" s="62"/>
      <c r="AV591" s="46"/>
      <c r="AW591" s="47"/>
      <c r="AX591" s="48"/>
      <c r="AY591" s="49"/>
      <c r="BA591" s="48"/>
    </row>
    <row r="592" spans="1:53" ht="19.5" customHeight="1" x14ac:dyDescent="0.25">
      <c r="A592" s="33" t="str">
        <f t="shared" si="304"/>
        <v>63584440,035</v>
      </c>
      <c r="B592" s="33" t="str">
        <f t="shared" si="305"/>
        <v>2080,035</v>
      </c>
      <c r="C592" s="34" t="str">
        <f>VLOOKUP(D592,[1]apoio_Preços_MGS!$A$6:$B$238,2,FALSE)</f>
        <v>RECEPCIONISTA</v>
      </c>
      <c r="D592" s="35">
        <v>208</v>
      </c>
      <c r="E592" s="33" t="str">
        <f>VLOOKUP(D592,[1]apoio_Preços_MGS!$A$6:$F$238,6,FALSE)</f>
        <v>RECEPCIONISTA - DIARISTA DIURNO - 44H</v>
      </c>
      <c r="F592" s="36">
        <f>IFERROR(VLOOKUP(D592,'[1]apoio_cód catmas'!$B$2:$C$863,2,FALSE),0)</f>
        <v>63584</v>
      </c>
      <c r="G592" s="33" t="str">
        <f>IF(H592="N/A",VLOOKUP(F592&amp;40,'[1]apoio_cód catmas'!$A$1:$G$233,4,FALSE),VLOOKUP(F592&amp;H592,'[1]apoio_cód catmas'!$A$1:$G$233,4,FALSE))</f>
        <v>RECEPCIONISTA - 30H, 36H, 40H OU 44H</v>
      </c>
      <c r="H592" s="36">
        <v>44</v>
      </c>
      <c r="I592" s="37">
        <v>3.5000000000000003E-2</v>
      </c>
      <c r="J592" s="38" t="s">
        <v>46</v>
      </c>
      <c r="K592" s="39">
        <v>4</v>
      </c>
      <c r="L592" s="39">
        <f t="shared" si="307"/>
        <v>240</v>
      </c>
      <c r="M592" s="40">
        <f>VLOOKUP(D592,[1]apoio_Preços_MGS!$A$6:$AN$238,18,FALSE)</f>
        <v>3237.025661686117</v>
      </c>
      <c r="N592" s="40">
        <f>VLOOKUP(D592,[1]apoio_Preços_MGS!$A$6:$AN$238,19,FALSE)</f>
        <v>0</v>
      </c>
      <c r="O592" s="40">
        <f>VLOOKUP(D592,[1]apoio_Preços_MGS!$A$6:$AN$238,20,FALSE)</f>
        <v>0</v>
      </c>
      <c r="P592" s="40">
        <f>VLOOKUP(D592,[1]apoio_Preços_MGS!$A$6:$AN$238,21,FALSE)</f>
        <v>0</v>
      </c>
      <c r="Q592" s="40">
        <f>VLOOKUP(D592,[1]apoio_Preços_MGS!$A$6:$AN$238,22,FALSE)</f>
        <v>0</v>
      </c>
      <c r="R592" s="40">
        <f>VLOOKUP(D592,[1]apoio_Preços_MGS!$A$6:$AN$238,23,FALSE)</f>
        <v>0</v>
      </c>
      <c r="S592" s="40">
        <f>VLOOKUP(D592,[1]apoio_Preços_MGS!$A$6:$AN$238,24,FALSE)</f>
        <v>0</v>
      </c>
      <c r="T592" s="40">
        <f>VLOOKUP(D592,[1]apoio_Preços_MGS!$A$6:$AN$238,25,FALSE)</f>
        <v>0</v>
      </c>
      <c r="U592" s="40">
        <f t="shared" si="301"/>
        <v>3237.025661686117</v>
      </c>
      <c r="V592" s="41">
        <v>0.81799999999999995</v>
      </c>
      <c r="W592" s="40">
        <f t="shared" si="302"/>
        <v>2647.8869912592436</v>
      </c>
      <c r="X592" s="40">
        <f>VLOOKUP(D592,[1]apoio_Preços_MGS!$A$6:$AN$238,29,FALSE)</f>
        <v>62.000833333333333</v>
      </c>
      <c r="Y592" s="40">
        <f>VLOOKUP(D592,[1]apoio_Preços_MGS!$A$6:$AN$238,30,FALSE)</f>
        <v>0</v>
      </c>
      <c r="Z592" s="40">
        <f t="shared" si="266"/>
        <v>62.000833333333333</v>
      </c>
      <c r="AA592" s="40">
        <f>VLOOKUP(D592,[1]apoio_Preços_MGS!$A$6:$AN$238,32,FALSE)</f>
        <v>6.2150892704373444</v>
      </c>
      <c r="AB592" s="40">
        <f>VLOOKUP(D592,[1]apoio_Preços_MGS!$A$6:$AN$238,33,FALSE)</f>
        <v>113.64067261146543</v>
      </c>
      <c r="AC592" s="41">
        <f>VLOOKUP(D592,[1]apoio_Preços_MGS!$A$6:$AN$238,34,FALSE)</f>
        <v>3.2562971679721289E-2</v>
      </c>
      <c r="AD592" s="40">
        <f>(U592+W592+Z592+AB592+AA592+VLOOKUP(C592,[1]apoio_Prec_Folha!$A:$S,7,FALSE))*AC592</f>
        <v>215.46149437979804</v>
      </c>
      <c r="AE592" s="42">
        <f>VLOOKUP(D592,[1]apoio_Preços_MGS!$A$6:$AN$238,36,FALSE)</f>
        <v>7.0000000000000007E-2</v>
      </c>
      <c r="AF592" s="40">
        <f>(U592+W592+Z592+AB592+AD592+AA592+VLOOKUP(C592,[1]apoio_Prec_Folha!$A:$S,7,FALSE))*AE592</f>
        <v>478.25577522623524</v>
      </c>
      <c r="AG592" s="40">
        <f t="shared" si="267"/>
        <v>6760.48</v>
      </c>
      <c r="AH592" s="43">
        <f t="shared" si="268"/>
        <v>7748.38</v>
      </c>
      <c r="AI592" s="43">
        <f t="shared" si="269"/>
        <v>30993.52</v>
      </c>
      <c r="AJ592" s="43">
        <f t="shared" si="270"/>
        <v>1859611.2</v>
      </c>
      <c r="AK592" s="44">
        <f>VLOOKUP(D592,[1]apoio_Preços_MGS!$A$6:$AN$238,39,FALSE)</f>
        <v>200.00000000000003</v>
      </c>
      <c r="AL592" s="44">
        <f>IF(J592="demais municípios",VLOOKUP(D592,[1]apoio_Preços_MGS!$A$6:$AN$238,39,FALSE),0)</f>
        <v>200.00000000000003</v>
      </c>
      <c r="AM592" s="44">
        <v>0</v>
      </c>
      <c r="AN592" s="45">
        <f t="shared" si="310"/>
        <v>800.00000000000011</v>
      </c>
      <c r="AO592" s="44">
        <f>VLOOKUP(D592,[1]apoio_Preços_MGS!$A$6:$AN$238,40,FALSE)</f>
        <v>549.99</v>
      </c>
      <c r="AP592" s="44">
        <f>IF(J592="demais municípios",VLOOKUP(D592,[1]apoio_Preços_MGS!$A$6:$AN$238,40,FALSE),0)</f>
        <v>549.99</v>
      </c>
      <c r="AQ592" s="44">
        <v>0</v>
      </c>
      <c r="AR592" s="45">
        <f t="shared" si="311"/>
        <v>2199.96</v>
      </c>
      <c r="AS592" s="45">
        <f t="shared" si="303"/>
        <v>2999.96</v>
      </c>
      <c r="AT592" s="45">
        <f t="shared" si="306"/>
        <v>179997.6</v>
      </c>
      <c r="AU592" s="62"/>
      <c r="AV592" s="46"/>
      <c r="AW592" s="47"/>
      <c r="AX592" s="48"/>
      <c r="AY592" s="49"/>
      <c r="BA592" s="48"/>
    </row>
    <row r="593" spans="1:53" ht="19.5" customHeight="1" x14ac:dyDescent="0.25">
      <c r="A593" s="33" t="str">
        <f t="shared" si="304"/>
        <v>63584440,038</v>
      </c>
      <c r="B593" s="33" t="str">
        <f t="shared" si="305"/>
        <v>2080,038</v>
      </c>
      <c r="C593" s="34" t="str">
        <f>VLOOKUP(D593,[1]apoio_Preços_MGS!$A$6:$B$238,2,FALSE)</f>
        <v>RECEPCIONISTA</v>
      </c>
      <c r="D593" s="35">
        <v>208</v>
      </c>
      <c r="E593" s="33" t="str">
        <f>VLOOKUP(D593,[1]apoio_Preços_MGS!$A$6:$F$238,6,FALSE)</f>
        <v>RECEPCIONISTA - DIARISTA DIURNO - 44H</v>
      </c>
      <c r="F593" s="36">
        <f>IFERROR(VLOOKUP(D593,'[1]apoio_cód catmas'!$B$2:$C$863,2,FALSE),0)</f>
        <v>63584</v>
      </c>
      <c r="G593" s="33" t="str">
        <f>IF(H593="N/A",VLOOKUP(F593&amp;40,'[1]apoio_cód catmas'!$A$1:$G$233,4,FALSE),VLOOKUP(F593&amp;H593,'[1]apoio_cód catmas'!$A$1:$G$233,4,FALSE))</f>
        <v>RECEPCIONISTA - 30H, 36H, 40H OU 44H</v>
      </c>
      <c r="H593" s="36">
        <v>44</v>
      </c>
      <c r="I593" s="37">
        <v>3.7999999999999999E-2</v>
      </c>
      <c r="J593" s="38" t="s">
        <v>46</v>
      </c>
      <c r="K593" s="39">
        <v>6</v>
      </c>
      <c r="L593" s="39">
        <f t="shared" si="307"/>
        <v>360</v>
      </c>
      <c r="M593" s="40">
        <f>VLOOKUP(D593,[1]apoio_Preços_MGS!$A$6:$AN$238,18,FALSE)</f>
        <v>3237.025661686117</v>
      </c>
      <c r="N593" s="40">
        <f>VLOOKUP(D593,[1]apoio_Preços_MGS!$A$6:$AN$238,19,FALSE)</f>
        <v>0</v>
      </c>
      <c r="O593" s="40">
        <f>VLOOKUP(D593,[1]apoio_Preços_MGS!$A$6:$AN$238,20,FALSE)</f>
        <v>0</v>
      </c>
      <c r="P593" s="40">
        <f>VLOOKUP(D593,[1]apoio_Preços_MGS!$A$6:$AN$238,21,FALSE)</f>
        <v>0</v>
      </c>
      <c r="Q593" s="40">
        <f>VLOOKUP(D593,[1]apoio_Preços_MGS!$A$6:$AN$238,22,FALSE)</f>
        <v>0</v>
      </c>
      <c r="R593" s="40">
        <f>VLOOKUP(D593,[1]apoio_Preços_MGS!$A$6:$AN$238,23,FALSE)</f>
        <v>0</v>
      </c>
      <c r="S593" s="40">
        <f>VLOOKUP(D593,[1]apoio_Preços_MGS!$A$6:$AN$238,24,FALSE)</f>
        <v>0</v>
      </c>
      <c r="T593" s="40">
        <f>VLOOKUP(D593,[1]apoio_Preços_MGS!$A$6:$AN$238,25,FALSE)</f>
        <v>0</v>
      </c>
      <c r="U593" s="40">
        <f t="shared" si="301"/>
        <v>3237.025661686117</v>
      </c>
      <c r="V593" s="41">
        <v>0.81799999999999995</v>
      </c>
      <c r="W593" s="40">
        <f t="shared" si="302"/>
        <v>2647.8869912592436</v>
      </c>
      <c r="X593" s="40">
        <f>VLOOKUP(D593,[1]apoio_Preços_MGS!$A$6:$AN$238,29,FALSE)</f>
        <v>62.000833333333333</v>
      </c>
      <c r="Y593" s="40">
        <f>VLOOKUP(D593,[1]apoio_Preços_MGS!$A$6:$AN$238,30,FALSE)</f>
        <v>0</v>
      </c>
      <c r="Z593" s="40">
        <f t="shared" ref="Z593:Z674" si="312">Y593+X593</f>
        <v>62.000833333333333</v>
      </c>
      <c r="AA593" s="40">
        <f>VLOOKUP(D593,[1]apoio_Preços_MGS!$A$6:$AN$238,32,FALSE)</f>
        <v>6.2150892704373444</v>
      </c>
      <c r="AB593" s="40">
        <f>VLOOKUP(D593,[1]apoio_Preços_MGS!$A$6:$AN$238,33,FALSE)</f>
        <v>113.64067261146543</v>
      </c>
      <c r="AC593" s="41">
        <f>VLOOKUP(D593,[1]apoio_Preços_MGS!$A$6:$AN$238,34,FALSE)</f>
        <v>3.2562971679721289E-2</v>
      </c>
      <c r="AD593" s="40">
        <f>(U593+W593+Z593+AB593+AA593+VLOOKUP(C593,[1]apoio_Prec_Folha!$A:$S,7,FALSE))*AC593</f>
        <v>215.46149437979804</v>
      </c>
      <c r="AE593" s="42">
        <f>VLOOKUP(D593,[1]apoio_Preços_MGS!$A$6:$AN$238,36,FALSE)</f>
        <v>7.0000000000000007E-2</v>
      </c>
      <c r="AF593" s="40">
        <f>(U593+W593+Z593+AB593+AD593+AA593+VLOOKUP(C593,[1]apoio_Prec_Folha!$A:$S,7,FALSE))*AE593</f>
        <v>478.25577522623524</v>
      </c>
      <c r="AG593" s="40">
        <f t="shared" ref="AG593:AG674" si="313">TRUNC(U593+W593+Z593+AB593+AA593+AD593+AF593,2)</f>
        <v>6760.48</v>
      </c>
      <c r="AH593" s="43">
        <f t="shared" ref="AH593:AH674" si="314">TRUNC($AG593*ROUND((7.6%+1.65%+$I593)/(1-(7.6%+1.65%+$I593)),5)+$AG593,2)</f>
        <v>7775.16</v>
      </c>
      <c r="AI593" s="43">
        <f t="shared" ref="AI593:AI674" si="315">AH593*K593</f>
        <v>46650.96</v>
      </c>
      <c r="AJ593" s="43">
        <f t="shared" ref="AJ593:AJ674" si="316">AH593*L593</f>
        <v>2799057.6</v>
      </c>
      <c r="AK593" s="44">
        <f>VLOOKUP(D593,[1]apoio_Preços_MGS!$A$6:$AN$238,39,FALSE)</f>
        <v>200.00000000000003</v>
      </c>
      <c r="AL593" s="44">
        <f>IF(J593="demais municípios",VLOOKUP(D593,[1]apoio_Preços_MGS!$A$6:$AN$238,39,FALSE),0)</f>
        <v>200.00000000000003</v>
      </c>
      <c r="AM593" s="44">
        <v>0</v>
      </c>
      <c r="AN593" s="45">
        <f t="shared" si="310"/>
        <v>1200.0000000000002</v>
      </c>
      <c r="AO593" s="44">
        <f>VLOOKUP(D593,[1]apoio_Preços_MGS!$A$6:$AN$238,40,FALSE)</f>
        <v>549.99</v>
      </c>
      <c r="AP593" s="44">
        <f>IF(J593="demais municípios",VLOOKUP(D593,[1]apoio_Preços_MGS!$A$6:$AN$238,40,FALSE),0)</f>
        <v>549.99</v>
      </c>
      <c r="AQ593" s="44">
        <v>0</v>
      </c>
      <c r="AR593" s="45">
        <f t="shared" si="311"/>
        <v>3299.94</v>
      </c>
      <c r="AS593" s="45">
        <f t="shared" si="303"/>
        <v>4499.9400000000005</v>
      </c>
      <c r="AT593" s="45">
        <f t="shared" si="306"/>
        <v>269996.40000000002</v>
      </c>
      <c r="AU593" s="62"/>
      <c r="AV593" s="46"/>
      <c r="AW593" s="47"/>
      <c r="AX593" s="48"/>
      <c r="AY593" s="49"/>
      <c r="BA593" s="48"/>
    </row>
    <row r="594" spans="1:53" ht="19.5" customHeight="1" x14ac:dyDescent="0.25">
      <c r="A594" s="33" t="str">
        <f t="shared" si="304"/>
        <v>63584440,04</v>
      </c>
      <c r="B594" s="33" t="str">
        <f t="shared" si="305"/>
        <v>2080,04</v>
      </c>
      <c r="C594" s="34" t="str">
        <f>VLOOKUP(D594,[1]apoio_Preços_MGS!$A$6:$B$238,2,FALSE)</f>
        <v>RECEPCIONISTA</v>
      </c>
      <c r="D594" s="35">
        <v>208</v>
      </c>
      <c r="E594" s="33" t="str">
        <f>VLOOKUP(D594,[1]apoio_Preços_MGS!$A$6:$F$238,6,FALSE)</f>
        <v>RECEPCIONISTA - DIARISTA DIURNO - 44H</v>
      </c>
      <c r="F594" s="36">
        <f>IFERROR(VLOOKUP(D594,'[1]apoio_cód catmas'!$B$2:$C$863,2,FALSE),0)</f>
        <v>63584</v>
      </c>
      <c r="G594" s="33" t="str">
        <f>IF(H594="N/A",VLOOKUP(F594&amp;40,'[1]apoio_cód catmas'!$A$1:$G$233,4,FALSE),VLOOKUP(F594&amp;H594,'[1]apoio_cód catmas'!$A$1:$G$233,4,FALSE))</f>
        <v>RECEPCIONISTA - 30H, 36H, 40H OU 44H</v>
      </c>
      <c r="H594" s="36">
        <v>44</v>
      </c>
      <c r="I594" s="37">
        <v>0.04</v>
      </c>
      <c r="J594" s="38" t="s">
        <v>46</v>
      </c>
      <c r="K594" s="39">
        <v>7</v>
      </c>
      <c r="L594" s="39">
        <f t="shared" si="307"/>
        <v>420</v>
      </c>
      <c r="M594" s="40">
        <f>VLOOKUP(D594,[1]apoio_Preços_MGS!$A$6:$AN$238,18,FALSE)</f>
        <v>3237.025661686117</v>
      </c>
      <c r="N594" s="40">
        <f>VLOOKUP(D594,[1]apoio_Preços_MGS!$A$6:$AN$238,19,FALSE)</f>
        <v>0</v>
      </c>
      <c r="O594" s="40">
        <f>VLOOKUP(D594,[1]apoio_Preços_MGS!$A$6:$AN$238,20,FALSE)</f>
        <v>0</v>
      </c>
      <c r="P594" s="40">
        <f>VLOOKUP(D594,[1]apoio_Preços_MGS!$A$6:$AN$238,21,FALSE)</f>
        <v>0</v>
      </c>
      <c r="Q594" s="40">
        <f>VLOOKUP(D594,[1]apoio_Preços_MGS!$A$6:$AN$238,22,FALSE)</f>
        <v>0</v>
      </c>
      <c r="R594" s="40">
        <f>VLOOKUP(D594,[1]apoio_Preços_MGS!$A$6:$AN$238,23,FALSE)</f>
        <v>0</v>
      </c>
      <c r="S594" s="40">
        <f>VLOOKUP(D594,[1]apoio_Preços_MGS!$A$6:$AN$238,24,FALSE)</f>
        <v>0</v>
      </c>
      <c r="T594" s="40">
        <f>VLOOKUP(D594,[1]apoio_Preços_MGS!$A$6:$AN$238,25,FALSE)</f>
        <v>0</v>
      </c>
      <c r="U594" s="40">
        <f t="shared" si="301"/>
        <v>3237.025661686117</v>
      </c>
      <c r="V594" s="41">
        <v>0.81799999999999995</v>
      </c>
      <c r="W594" s="40">
        <f t="shared" si="302"/>
        <v>2647.8869912592436</v>
      </c>
      <c r="X594" s="40">
        <f>VLOOKUP(D594,[1]apoio_Preços_MGS!$A$6:$AN$238,29,FALSE)</f>
        <v>62.000833333333333</v>
      </c>
      <c r="Y594" s="40">
        <f>VLOOKUP(D594,[1]apoio_Preços_MGS!$A$6:$AN$238,30,FALSE)</f>
        <v>0</v>
      </c>
      <c r="Z594" s="40">
        <f t="shared" si="312"/>
        <v>62.000833333333333</v>
      </c>
      <c r="AA594" s="40">
        <f>VLOOKUP(D594,[1]apoio_Preços_MGS!$A$6:$AN$238,32,FALSE)</f>
        <v>6.2150892704373444</v>
      </c>
      <c r="AB594" s="40">
        <f>VLOOKUP(D594,[1]apoio_Preços_MGS!$A$6:$AN$238,33,FALSE)</f>
        <v>113.64067261146543</v>
      </c>
      <c r="AC594" s="41">
        <f>VLOOKUP(D594,[1]apoio_Preços_MGS!$A$6:$AN$238,34,FALSE)</f>
        <v>3.2562971679721289E-2</v>
      </c>
      <c r="AD594" s="40">
        <f>(U594+W594+Z594+AB594+AA594+VLOOKUP(C594,[1]apoio_Prec_Folha!$A:$S,7,FALSE))*AC594</f>
        <v>215.46149437979804</v>
      </c>
      <c r="AE594" s="42">
        <f>VLOOKUP(D594,[1]apoio_Preços_MGS!$A$6:$AN$238,36,FALSE)</f>
        <v>7.0000000000000007E-2</v>
      </c>
      <c r="AF594" s="40">
        <f>(U594+W594+Z594+AB594+AD594+AA594+VLOOKUP(C594,[1]apoio_Prec_Folha!$A:$S,7,FALSE))*AE594</f>
        <v>478.25577522623524</v>
      </c>
      <c r="AG594" s="40">
        <f t="shared" si="313"/>
        <v>6760.48</v>
      </c>
      <c r="AH594" s="43">
        <f t="shared" si="314"/>
        <v>7793.07</v>
      </c>
      <c r="AI594" s="43">
        <f t="shared" si="315"/>
        <v>54551.49</v>
      </c>
      <c r="AJ594" s="43">
        <f t="shared" si="316"/>
        <v>3273089.4</v>
      </c>
      <c r="AK594" s="44">
        <f>VLOOKUP(D594,[1]apoio_Preços_MGS!$A$6:$AN$238,39,FALSE)</f>
        <v>200.00000000000003</v>
      </c>
      <c r="AL594" s="44">
        <f>IF(J594="demais municípios",VLOOKUP(D594,[1]apoio_Preços_MGS!$A$6:$AN$238,39,FALSE),0)</f>
        <v>200.00000000000003</v>
      </c>
      <c r="AM594" s="44">
        <v>0</v>
      </c>
      <c r="AN594" s="45">
        <f t="shared" si="310"/>
        <v>1400.0000000000002</v>
      </c>
      <c r="AO594" s="44">
        <f>VLOOKUP(D594,[1]apoio_Preços_MGS!$A$6:$AN$238,40,FALSE)</f>
        <v>549.99</v>
      </c>
      <c r="AP594" s="44">
        <f>IF(J594="demais municípios",VLOOKUP(D594,[1]apoio_Preços_MGS!$A$6:$AN$238,40,FALSE),0)</f>
        <v>549.99</v>
      </c>
      <c r="AQ594" s="44">
        <v>0</v>
      </c>
      <c r="AR594" s="45">
        <f t="shared" si="311"/>
        <v>3849.9300000000003</v>
      </c>
      <c r="AS594" s="45">
        <f t="shared" si="303"/>
        <v>5249.93</v>
      </c>
      <c r="AT594" s="45">
        <f t="shared" si="306"/>
        <v>314995.80000000005</v>
      </c>
      <c r="AU594" s="62"/>
      <c r="AV594" s="46"/>
      <c r="AW594" s="47"/>
      <c r="AX594" s="48"/>
      <c r="AY594" s="49"/>
      <c r="BA594" s="48"/>
    </row>
    <row r="595" spans="1:53" ht="19.5" customHeight="1" x14ac:dyDescent="0.25">
      <c r="A595" s="33" t="str">
        <f t="shared" si="304"/>
        <v>63584440,05</v>
      </c>
      <c r="B595" s="33" t="str">
        <f t="shared" si="305"/>
        <v>2080,05</v>
      </c>
      <c r="C595" s="34" t="str">
        <f>VLOOKUP(D595,[1]apoio_Preços_MGS!$A$6:$B$238,2,FALSE)</f>
        <v>RECEPCIONISTA</v>
      </c>
      <c r="D595" s="35">
        <v>208</v>
      </c>
      <c r="E595" s="33" t="str">
        <f>VLOOKUP(D595,[1]apoio_Preços_MGS!$A$6:$F$238,6,FALSE)</f>
        <v>RECEPCIONISTA - DIARISTA DIURNO - 44H</v>
      </c>
      <c r="F595" s="36">
        <f>IFERROR(VLOOKUP(D595,'[1]apoio_cód catmas'!$B$2:$C$863,2,FALSE),0)</f>
        <v>63584</v>
      </c>
      <c r="G595" s="33" t="str">
        <f>IF(H595="N/A",VLOOKUP(F595&amp;40,'[1]apoio_cód catmas'!$A$1:$G$233,4,FALSE),VLOOKUP(F595&amp;H595,'[1]apoio_cód catmas'!$A$1:$G$233,4,FALSE))</f>
        <v>RECEPCIONISTA - 30H, 36H, 40H OU 44H</v>
      </c>
      <c r="H595" s="36">
        <v>44</v>
      </c>
      <c r="I595" s="37">
        <v>0.05</v>
      </c>
      <c r="J595" s="38" t="s">
        <v>46</v>
      </c>
      <c r="K595" s="39">
        <v>1</v>
      </c>
      <c r="L595" s="39">
        <f>K595*56</f>
        <v>56</v>
      </c>
      <c r="M595" s="40">
        <f>VLOOKUP(D595,[1]apoio_Preços_MGS!$A$6:$AN$238,18,FALSE)</f>
        <v>3237.025661686117</v>
      </c>
      <c r="N595" s="40">
        <f>VLOOKUP(D595,[1]apoio_Preços_MGS!$A$6:$AN$238,19,FALSE)</f>
        <v>0</v>
      </c>
      <c r="O595" s="40">
        <f>VLOOKUP(D595,[1]apoio_Preços_MGS!$A$6:$AN$238,20,FALSE)</f>
        <v>0</v>
      </c>
      <c r="P595" s="40">
        <f>VLOOKUP(D595,[1]apoio_Preços_MGS!$A$6:$AN$238,21,FALSE)</f>
        <v>0</v>
      </c>
      <c r="Q595" s="40">
        <f>VLOOKUP(D595,[1]apoio_Preços_MGS!$A$6:$AN$238,22,FALSE)</f>
        <v>0</v>
      </c>
      <c r="R595" s="40">
        <f>VLOOKUP(D595,[1]apoio_Preços_MGS!$A$6:$AN$238,23,FALSE)</f>
        <v>0</v>
      </c>
      <c r="S595" s="40">
        <f>VLOOKUP(D595,[1]apoio_Preços_MGS!$A$6:$AN$238,24,FALSE)</f>
        <v>0</v>
      </c>
      <c r="T595" s="40">
        <f>VLOOKUP(D595,[1]apoio_Preços_MGS!$A$6:$AN$238,25,FALSE)</f>
        <v>0</v>
      </c>
      <c r="U595" s="40">
        <f t="shared" si="301"/>
        <v>3237.025661686117</v>
      </c>
      <c r="V595" s="41">
        <v>0.81799999999999995</v>
      </c>
      <c r="W595" s="40">
        <f t="shared" si="302"/>
        <v>2647.8869912592436</v>
      </c>
      <c r="X595" s="40">
        <f>VLOOKUP(D595,[1]apoio_Preços_MGS!$A$6:$AN$238,29,FALSE)</f>
        <v>62.000833333333333</v>
      </c>
      <c r="Y595" s="40">
        <f>VLOOKUP(D595,[1]apoio_Preços_MGS!$A$6:$AN$238,30,FALSE)</f>
        <v>0</v>
      </c>
      <c r="Z595" s="40">
        <f t="shared" si="312"/>
        <v>62.000833333333333</v>
      </c>
      <c r="AA595" s="40">
        <f>VLOOKUP(D595,[1]apoio_Preços_MGS!$A$6:$AN$238,32,FALSE)</f>
        <v>6.2150892704373444</v>
      </c>
      <c r="AB595" s="40">
        <f>VLOOKUP(D595,[1]apoio_Preços_MGS!$A$6:$AN$238,33,FALSE)</f>
        <v>113.64067261146543</v>
      </c>
      <c r="AC595" s="41">
        <f>VLOOKUP(D595,[1]apoio_Preços_MGS!$A$6:$AN$238,34,FALSE)</f>
        <v>3.2562971679721289E-2</v>
      </c>
      <c r="AD595" s="40">
        <f>(U595+W595+Z595+AB595+AA595+VLOOKUP(C595,[1]apoio_Prec_Folha!$A:$S,7,FALSE))*AC595</f>
        <v>215.46149437979804</v>
      </c>
      <c r="AE595" s="42">
        <f>VLOOKUP(D595,[1]apoio_Preços_MGS!$A$6:$AN$238,36,FALSE)</f>
        <v>7.0000000000000007E-2</v>
      </c>
      <c r="AF595" s="40">
        <f>(U595+W595+Z595+AB595+AD595+AA595+VLOOKUP(C595,[1]apoio_Prec_Folha!$A:$S,7,FALSE))*AE595</f>
        <v>478.25577522623524</v>
      </c>
      <c r="AG595" s="40">
        <f t="shared" si="313"/>
        <v>6760.48</v>
      </c>
      <c r="AH595" s="43">
        <f t="shared" si="314"/>
        <v>7883.93</v>
      </c>
      <c r="AI595" s="43">
        <f t="shared" si="315"/>
        <v>7883.93</v>
      </c>
      <c r="AJ595" s="43">
        <f t="shared" si="316"/>
        <v>441500.08</v>
      </c>
      <c r="AK595" s="44">
        <f>VLOOKUP(D595,[1]apoio_Preços_MGS!$A$6:$AN$238,39,FALSE)</f>
        <v>200.00000000000003</v>
      </c>
      <c r="AL595" s="44">
        <f>IF(J595="demais municípios",VLOOKUP(D595,[1]apoio_Preços_MGS!$A$6:$AN$238,39,FALSE),0)</f>
        <v>200.00000000000003</v>
      </c>
      <c r="AM595" s="44">
        <v>0</v>
      </c>
      <c r="AN595" s="45">
        <f t="shared" si="310"/>
        <v>200.00000000000003</v>
      </c>
      <c r="AO595" s="44">
        <f>VLOOKUP(D595,[1]apoio_Preços_MGS!$A$6:$AN$238,40,FALSE)</f>
        <v>549.99</v>
      </c>
      <c r="AP595" s="44">
        <f>IF(J595="demais municípios",VLOOKUP(D595,[1]apoio_Preços_MGS!$A$6:$AN$238,40,FALSE),0)</f>
        <v>549.99</v>
      </c>
      <c r="AQ595" s="44">
        <v>0</v>
      </c>
      <c r="AR595" s="45">
        <f t="shared" si="311"/>
        <v>549.99</v>
      </c>
      <c r="AS595" s="45">
        <f t="shared" si="303"/>
        <v>749.99</v>
      </c>
      <c r="AT595" s="45">
        <f t="shared" si="306"/>
        <v>44999.4</v>
      </c>
      <c r="AU595" s="62"/>
      <c r="AV595" s="46"/>
      <c r="AW595" s="47"/>
      <c r="AX595" s="48"/>
      <c r="AY595" s="49"/>
      <c r="BA595" s="48"/>
    </row>
    <row r="596" spans="1:53" ht="19.5" customHeight="1" x14ac:dyDescent="0.25">
      <c r="A596" s="33" t="str">
        <f t="shared" si="304"/>
        <v>63584440,05</v>
      </c>
      <c r="B596" s="33" t="str">
        <f t="shared" si="305"/>
        <v>2080,05</v>
      </c>
      <c r="C596" s="34" t="str">
        <f>VLOOKUP(D596,[1]apoio_Preços_MGS!$A$6:$B$238,2,FALSE)</f>
        <v>RECEPCIONISTA</v>
      </c>
      <c r="D596" s="35">
        <v>208</v>
      </c>
      <c r="E596" s="33" t="str">
        <f>VLOOKUP(D596,[1]apoio_Preços_MGS!$A$6:$F$238,6,FALSE)</f>
        <v>RECEPCIONISTA - DIARISTA DIURNO - 44H</v>
      </c>
      <c r="F596" s="36">
        <f>IFERROR(VLOOKUP(D596,'[1]apoio_cód catmas'!$B$2:$C$863,2,FALSE),0)</f>
        <v>63584</v>
      </c>
      <c r="G596" s="33" t="str">
        <f>IF(H596="N/A",VLOOKUP(F596&amp;40,'[1]apoio_cód catmas'!$A$1:$G$233,4,FALSE),VLOOKUP(F596&amp;H596,'[1]apoio_cód catmas'!$A$1:$G$233,4,FALSE))</f>
        <v>RECEPCIONISTA - 30H, 36H, 40H OU 44H</v>
      </c>
      <c r="H596" s="36">
        <v>44</v>
      </c>
      <c r="I596" s="37">
        <v>0.05</v>
      </c>
      <c r="J596" s="38" t="s">
        <v>46</v>
      </c>
      <c r="K596" s="39">
        <f>28-K597</f>
        <v>5</v>
      </c>
      <c r="L596" s="39">
        <f t="shared" si="307"/>
        <v>300</v>
      </c>
      <c r="M596" s="40">
        <f>VLOOKUP(D596,[1]apoio_Preços_MGS!$A$6:$AN$238,18,FALSE)</f>
        <v>3237.025661686117</v>
      </c>
      <c r="N596" s="40">
        <f>VLOOKUP(D596,[1]apoio_Preços_MGS!$A$6:$AN$238,19,FALSE)</f>
        <v>0</v>
      </c>
      <c r="O596" s="40">
        <f>VLOOKUP(D596,[1]apoio_Preços_MGS!$A$6:$AN$238,20,FALSE)</f>
        <v>0</v>
      </c>
      <c r="P596" s="40">
        <f>VLOOKUP(D596,[1]apoio_Preços_MGS!$A$6:$AN$238,21,FALSE)</f>
        <v>0</v>
      </c>
      <c r="Q596" s="40">
        <f>VLOOKUP(D596,[1]apoio_Preços_MGS!$A$6:$AN$238,22,FALSE)</f>
        <v>0</v>
      </c>
      <c r="R596" s="40">
        <f>VLOOKUP(D596,[1]apoio_Preços_MGS!$A$6:$AN$238,23,FALSE)</f>
        <v>0</v>
      </c>
      <c r="S596" s="40">
        <f>VLOOKUP(D596,[1]apoio_Preços_MGS!$A$6:$AN$238,24,FALSE)</f>
        <v>0</v>
      </c>
      <c r="T596" s="40">
        <f>VLOOKUP(D596,[1]apoio_Preços_MGS!$A$6:$AN$238,25,FALSE)</f>
        <v>0</v>
      </c>
      <c r="U596" s="40">
        <f t="shared" si="301"/>
        <v>3237.025661686117</v>
      </c>
      <c r="V596" s="41">
        <v>0.81799999999999995</v>
      </c>
      <c r="W596" s="40">
        <f t="shared" si="302"/>
        <v>2647.8869912592436</v>
      </c>
      <c r="X596" s="40">
        <f>VLOOKUP(D596,[1]apoio_Preços_MGS!$A$6:$AN$238,29,FALSE)</f>
        <v>62.000833333333333</v>
      </c>
      <c r="Y596" s="40">
        <f>VLOOKUP(D596,[1]apoio_Preços_MGS!$A$6:$AN$238,30,FALSE)</f>
        <v>0</v>
      </c>
      <c r="Z596" s="40">
        <f t="shared" si="312"/>
        <v>62.000833333333333</v>
      </c>
      <c r="AA596" s="40">
        <f>VLOOKUP(D596,[1]apoio_Preços_MGS!$A$6:$AN$238,32,FALSE)</f>
        <v>6.2150892704373444</v>
      </c>
      <c r="AB596" s="40">
        <f>VLOOKUP(D596,[1]apoio_Preços_MGS!$A$6:$AN$238,33,FALSE)</f>
        <v>113.64067261146543</v>
      </c>
      <c r="AC596" s="41">
        <f>VLOOKUP(D596,[1]apoio_Preços_MGS!$A$6:$AN$238,34,FALSE)</f>
        <v>3.2562971679721289E-2</v>
      </c>
      <c r="AD596" s="40">
        <f>(U596+W596+Z596+AB596+AA596+VLOOKUP(C596,[1]apoio_Prec_Folha!$A:$S,7,FALSE))*AC596</f>
        <v>215.46149437979804</v>
      </c>
      <c r="AE596" s="42">
        <f>VLOOKUP(D596,[1]apoio_Preços_MGS!$A$6:$AN$238,36,FALSE)</f>
        <v>7.0000000000000007E-2</v>
      </c>
      <c r="AF596" s="40">
        <f>(U596+W596+Z596+AB596+AD596+AA596+VLOOKUP(C596,[1]apoio_Prec_Folha!$A:$S,7,FALSE))*AE596</f>
        <v>478.25577522623524</v>
      </c>
      <c r="AG596" s="40">
        <f t="shared" si="313"/>
        <v>6760.48</v>
      </c>
      <c r="AH596" s="43">
        <f t="shared" si="314"/>
        <v>7883.93</v>
      </c>
      <c r="AI596" s="43">
        <f t="shared" si="315"/>
        <v>39419.65</v>
      </c>
      <c r="AJ596" s="43">
        <f t="shared" si="316"/>
        <v>2365179</v>
      </c>
      <c r="AK596" s="44">
        <f>VLOOKUP(D596,[1]apoio_Preços_MGS!$A$6:$AN$238,39,FALSE)</f>
        <v>200.00000000000003</v>
      </c>
      <c r="AL596" s="44">
        <f>IF(J596="demais municípios",VLOOKUP(D596,[1]apoio_Preços_MGS!$A$6:$AN$238,39,FALSE),0)</f>
        <v>200.00000000000003</v>
      </c>
      <c r="AM596" s="44">
        <v>0</v>
      </c>
      <c r="AN596" s="45">
        <f t="shared" si="310"/>
        <v>1000.0000000000001</v>
      </c>
      <c r="AO596" s="44">
        <f>VLOOKUP(D596,[1]apoio_Preços_MGS!$A$6:$AN$238,40,FALSE)</f>
        <v>549.99</v>
      </c>
      <c r="AP596" s="44">
        <f>IF(J596="demais municípios",VLOOKUP(D596,[1]apoio_Preços_MGS!$A$6:$AN$238,40,FALSE),0)</f>
        <v>549.99</v>
      </c>
      <c r="AQ596" s="44">
        <v>0</v>
      </c>
      <c r="AR596" s="45">
        <f t="shared" si="311"/>
        <v>2749.95</v>
      </c>
      <c r="AS596" s="45">
        <f t="shared" si="303"/>
        <v>3749.95</v>
      </c>
      <c r="AT596" s="45">
        <f t="shared" si="306"/>
        <v>224997</v>
      </c>
      <c r="AU596" s="62"/>
      <c r="AV596" s="46"/>
      <c r="AW596" s="47"/>
      <c r="AX596" s="48"/>
      <c r="AY596" s="49"/>
      <c r="BA596" s="48"/>
    </row>
    <row r="597" spans="1:53" ht="19.5" customHeight="1" x14ac:dyDescent="0.25">
      <c r="A597" s="33" t="str">
        <f t="shared" si="304"/>
        <v>63584440,05</v>
      </c>
      <c r="B597" s="33" t="str">
        <f t="shared" si="305"/>
        <v>2080,05</v>
      </c>
      <c r="C597" s="34" t="str">
        <f>VLOOKUP(D597,[1]apoio_Preços_MGS!$A$6:$B$238,2,FALSE)</f>
        <v>RECEPCIONISTA</v>
      </c>
      <c r="D597" s="35">
        <v>208</v>
      </c>
      <c r="E597" s="33" t="str">
        <f>VLOOKUP(D597,[1]apoio_Preços_MGS!$A$6:$F$238,6,FALSE)</f>
        <v>RECEPCIONISTA - DIARISTA DIURNO - 44H</v>
      </c>
      <c r="F597" s="36">
        <f>IFERROR(VLOOKUP(D597,'[1]apoio_cód catmas'!$B$2:$C$863,2,FALSE),0)</f>
        <v>63584</v>
      </c>
      <c r="G597" s="33" t="str">
        <f>IF(H597="N/A",VLOOKUP(F597&amp;40,'[1]apoio_cód catmas'!$A$1:$G$233,4,FALSE),VLOOKUP(F597&amp;H597,'[1]apoio_cód catmas'!$A$1:$G$233,4,FALSE))</f>
        <v>RECEPCIONISTA - 30H, 36H, 40H OU 44H</v>
      </c>
      <c r="H597" s="36">
        <v>44</v>
      </c>
      <c r="I597" s="37">
        <v>0.05</v>
      </c>
      <c r="J597" s="38" t="s">
        <v>47</v>
      </c>
      <c r="K597" s="39">
        <v>23</v>
      </c>
      <c r="L597" s="39">
        <f t="shared" si="307"/>
        <v>1380</v>
      </c>
      <c r="M597" s="40">
        <f>VLOOKUP(D597,[1]apoio_Preços_MGS!$A$6:$AN$238,18,FALSE)</f>
        <v>3237.025661686117</v>
      </c>
      <c r="N597" s="40">
        <f>VLOOKUP(D597,[1]apoio_Preços_MGS!$A$6:$AN$238,19,FALSE)</f>
        <v>0</v>
      </c>
      <c r="O597" s="40">
        <f>VLOOKUP(D597,[1]apoio_Preços_MGS!$A$6:$AN$238,20,FALSE)</f>
        <v>0</v>
      </c>
      <c r="P597" s="40">
        <f>VLOOKUP(D597,[1]apoio_Preços_MGS!$A$6:$AN$238,21,FALSE)</f>
        <v>0</v>
      </c>
      <c r="Q597" s="40">
        <f>VLOOKUP(D597,[1]apoio_Preços_MGS!$A$6:$AN$238,22,FALSE)</f>
        <v>0</v>
      </c>
      <c r="R597" s="40">
        <f>VLOOKUP(D597,[1]apoio_Preços_MGS!$A$6:$AN$238,23,FALSE)</f>
        <v>0</v>
      </c>
      <c r="S597" s="40">
        <f>VLOOKUP(D597,[1]apoio_Preços_MGS!$A$6:$AN$238,24,FALSE)</f>
        <v>0</v>
      </c>
      <c r="T597" s="40">
        <f>VLOOKUP(D597,[1]apoio_Preços_MGS!$A$6:$AN$238,25,FALSE)</f>
        <v>0</v>
      </c>
      <c r="U597" s="40">
        <f t="shared" si="301"/>
        <v>3237.025661686117</v>
      </c>
      <c r="V597" s="41">
        <v>0.81799999999999995</v>
      </c>
      <c r="W597" s="40">
        <f t="shared" si="302"/>
        <v>2647.8869912592436</v>
      </c>
      <c r="X597" s="40">
        <f>VLOOKUP(D597,[1]apoio_Preços_MGS!$A$6:$AN$238,29,FALSE)</f>
        <v>62.000833333333333</v>
      </c>
      <c r="Y597" s="40">
        <f>VLOOKUP(D597,[1]apoio_Preços_MGS!$A$6:$AN$238,30,FALSE)</f>
        <v>0</v>
      </c>
      <c r="Z597" s="40">
        <f t="shared" si="312"/>
        <v>62.000833333333333</v>
      </c>
      <c r="AA597" s="40">
        <f>VLOOKUP(D597,[1]apoio_Preços_MGS!$A$6:$AN$238,32,FALSE)</f>
        <v>6.2150892704373444</v>
      </c>
      <c r="AB597" s="40">
        <f>VLOOKUP(D597,[1]apoio_Preços_MGS!$A$6:$AN$238,33,FALSE)</f>
        <v>113.64067261146543</v>
      </c>
      <c r="AC597" s="41">
        <f>VLOOKUP(D597,[1]apoio_Preços_MGS!$A$6:$AN$238,34,FALSE)</f>
        <v>3.2562971679721289E-2</v>
      </c>
      <c r="AD597" s="40">
        <f>(U597+W597+Z597+AB597+AA597+VLOOKUP(C597,[1]apoio_Prec_Folha!$A:$S,7,FALSE))*AC597</f>
        <v>215.46149437979804</v>
      </c>
      <c r="AE597" s="42">
        <f>VLOOKUP(D597,[1]apoio_Preços_MGS!$A$6:$AN$238,36,FALSE)</f>
        <v>7.0000000000000007E-2</v>
      </c>
      <c r="AF597" s="40">
        <f>(U597+W597+Z597+AB597+AD597+AA597+VLOOKUP(C597,[1]apoio_Prec_Folha!$A:$S,7,FALSE))*AE597</f>
        <v>478.25577522623524</v>
      </c>
      <c r="AG597" s="40">
        <f t="shared" si="313"/>
        <v>6760.48</v>
      </c>
      <c r="AH597" s="43">
        <f t="shared" si="314"/>
        <v>7883.93</v>
      </c>
      <c r="AI597" s="43">
        <f t="shared" si="315"/>
        <v>181330.39</v>
      </c>
      <c r="AJ597" s="43">
        <f t="shared" si="316"/>
        <v>10879823.4</v>
      </c>
      <c r="AK597" s="44">
        <f>VLOOKUP(D597,[1]apoio_Preços_MGS!$A$6:$AN$238,39,FALSE)</f>
        <v>200.00000000000003</v>
      </c>
      <c r="AL597" s="44">
        <f>IF(J597="demais municípios",VLOOKUP(D597,[1]apoio_Preços_MGS!$A$6:$AN$238,39,FALSE),0)</f>
        <v>0</v>
      </c>
      <c r="AM597" s="44">
        <f>TRUNC(ROUND(($I597)/(1-($I597)),5)*VLOOKUP(D597,[1]apoio_Preços_MGS!$A$6:$AN$238,39,FALSE)+VLOOKUP(D597,[1]apoio_Preços_MGS!$A$6:$AN$238,39,FALSE),2)</f>
        <v>210.52</v>
      </c>
      <c r="AN597" s="45">
        <f t="shared" ref="AN597" si="317">AM597*K597</f>
        <v>4841.96</v>
      </c>
      <c r="AO597" s="44">
        <f>VLOOKUP(D597,[1]apoio_Preços_MGS!$A$6:$AN$238,40,FALSE)</f>
        <v>549.99</v>
      </c>
      <c r="AP597" s="44">
        <f>IF(J597="demais municípios",VLOOKUP(D597,[1]apoio_Preços_MGS!$A$6:$AN$238,40,FALSE),0)</f>
        <v>0</v>
      </c>
      <c r="AQ597" s="44">
        <f>TRUNC(ROUND(($I597)/(1-($I597)),5)*VLOOKUP(D597,[1]apoio_Preços_MGS!$A$6:$AN$238,40,FALSE)+VLOOKUP(D597,[1]apoio_Preços_MGS!$A$6:$AN$238,40,FALSE),2)</f>
        <v>578.92999999999995</v>
      </c>
      <c r="AR597" s="45">
        <f t="shared" ref="AR597" si="318">AQ597*K597</f>
        <v>13315.39</v>
      </c>
      <c r="AS597" s="45">
        <f t="shared" si="303"/>
        <v>18157.349999999999</v>
      </c>
      <c r="AT597" s="45">
        <f t="shared" si="306"/>
        <v>1089441</v>
      </c>
      <c r="AU597" s="62"/>
      <c r="AV597" s="46"/>
      <c r="AW597" s="47"/>
      <c r="AX597" s="48"/>
      <c r="AY597" s="49"/>
      <c r="BA597" s="48"/>
    </row>
    <row r="598" spans="1:53" ht="19.5" customHeight="1" x14ac:dyDescent="0.25">
      <c r="A598" s="33" t="str">
        <f t="shared" si="304"/>
        <v>63584440,05</v>
      </c>
      <c r="B598" s="33" t="str">
        <f t="shared" si="305"/>
        <v>2080,05</v>
      </c>
      <c r="C598" s="34" t="str">
        <f>VLOOKUP(D598,[1]apoio_Preços_MGS!$A$6:$B$238,2,FALSE)</f>
        <v>RECEPCIONISTA</v>
      </c>
      <c r="D598" s="35">
        <v>208</v>
      </c>
      <c r="E598" s="33" t="str">
        <f>VLOOKUP(D598,[1]apoio_Preços_MGS!$A$6:$F$238,6,FALSE)</f>
        <v>RECEPCIONISTA - DIARISTA DIURNO - 44H</v>
      </c>
      <c r="F598" s="36">
        <f>IFERROR(VLOOKUP(D598,'[1]apoio_cód catmas'!$B$2:$C$863,2,FALSE),0)</f>
        <v>63584</v>
      </c>
      <c r="G598" s="33" t="str">
        <f>IF(H598="N/A",VLOOKUP(F598&amp;40,'[1]apoio_cód catmas'!$A$1:$G$233,4,FALSE),VLOOKUP(F598&amp;H598,'[1]apoio_cód catmas'!$A$1:$G$233,4,FALSE))</f>
        <v>RECEPCIONISTA - 30H, 36H, 40H OU 44H</v>
      </c>
      <c r="H598" s="36">
        <v>44</v>
      </c>
      <c r="I598" s="37">
        <v>0.05</v>
      </c>
      <c r="J598" s="38" t="s">
        <v>47</v>
      </c>
      <c r="K598" s="39">
        <v>1</v>
      </c>
      <c r="L598" s="39">
        <f>K598*52</f>
        <v>52</v>
      </c>
      <c r="M598" s="40">
        <f>VLOOKUP(D598,[1]apoio_Preços_MGS!$A$6:$AN$238,18,FALSE)</f>
        <v>3237.025661686117</v>
      </c>
      <c r="N598" s="40">
        <f>VLOOKUP(D598,[1]apoio_Preços_MGS!$A$6:$AN$238,19,FALSE)</f>
        <v>0</v>
      </c>
      <c r="O598" s="40">
        <f>VLOOKUP(D598,[1]apoio_Preços_MGS!$A$6:$AN$238,20,FALSE)</f>
        <v>0</v>
      </c>
      <c r="P598" s="40">
        <f>VLOOKUP(D598,[1]apoio_Preços_MGS!$A$6:$AN$238,21,FALSE)</f>
        <v>0</v>
      </c>
      <c r="Q598" s="40">
        <f>VLOOKUP(D598,[1]apoio_Preços_MGS!$A$6:$AN$238,22,FALSE)</f>
        <v>0</v>
      </c>
      <c r="R598" s="40">
        <f>VLOOKUP(D598,[1]apoio_Preços_MGS!$A$6:$AN$238,23,FALSE)</f>
        <v>0</v>
      </c>
      <c r="S598" s="40">
        <f>VLOOKUP(D598,[1]apoio_Preços_MGS!$A$6:$AN$238,24,FALSE)</f>
        <v>0</v>
      </c>
      <c r="T598" s="40">
        <f>VLOOKUP(D598,[1]apoio_Preços_MGS!$A$6:$AN$238,25,FALSE)</f>
        <v>0</v>
      </c>
      <c r="U598" s="40">
        <f t="shared" si="301"/>
        <v>3237.025661686117</v>
      </c>
      <c r="V598" s="41">
        <v>0.81799999999999995</v>
      </c>
      <c r="W598" s="40">
        <f t="shared" si="302"/>
        <v>2647.8869912592436</v>
      </c>
      <c r="X598" s="40">
        <f>VLOOKUP(D598,[1]apoio_Preços_MGS!$A$6:$AN$238,29,FALSE)</f>
        <v>62.000833333333333</v>
      </c>
      <c r="Y598" s="40">
        <f>VLOOKUP(D598,[1]apoio_Preços_MGS!$A$6:$AN$238,30,FALSE)</f>
        <v>0</v>
      </c>
      <c r="Z598" s="40">
        <f t="shared" si="312"/>
        <v>62.000833333333333</v>
      </c>
      <c r="AA598" s="40">
        <f>VLOOKUP(D598,[1]apoio_Preços_MGS!$A$6:$AN$238,32,FALSE)</f>
        <v>6.2150892704373444</v>
      </c>
      <c r="AB598" s="40">
        <f>VLOOKUP(D598,[1]apoio_Preços_MGS!$A$6:$AN$238,33,FALSE)</f>
        <v>113.64067261146543</v>
      </c>
      <c r="AC598" s="41">
        <f>VLOOKUP(D598,[1]apoio_Preços_MGS!$A$6:$AN$238,34,FALSE)</f>
        <v>3.2562971679721289E-2</v>
      </c>
      <c r="AD598" s="40">
        <f>(U598+W598+Z598+AB598+AA598+VLOOKUP(C598,[1]apoio_Prec_Folha!$A:$S,7,FALSE))*AC598</f>
        <v>215.46149437979804</v>
      </c>
      <c r="AE598" s="42">
        <f>VLOOKUP(D598,[1]apoio_Preços_MGS!$A$6:$AN$238,36,FALSE)</f>
        <v>7.0000000000000007E-2</v>
      </c>
      <c r="AF598" s="40">
        <f>(U598+W598+Z598+AB598+AD598+AA598+VLOOKUP(C598,[1]apoio_Prec_Folha!$A:$S,7,FALSE))*AE598</f>
        <v>478.25577522623524</v>
      </c>
      <c r="AG598" s="40">
        <f t="shared" si="313"/>
        <v>6760.48</v>
      </c>
      <c r="AH598" s="43">
        <f t="shared" si="314"/>
        <v>7883.93</v>
      </c>
      <c r="AI598" s="43">
        <f t="shared" si="315"/>
        <v>7883.93</v>
      </c>
      <c r="AJ598" s="43">
        <f t="shared" si="316"/>
        <v>409964.36</v>
      </c>
      <c r="AK598" s="44">
        <f>VLOOKUP(D598,[1]apoio_Preços_MGS!$A$6:$AN$238,39,FALSE)</f>
        <v>200.00000000000003</v>
      </c>
      <c r="AL598" s="44">
        <f>IF(J598="demais municípios",VLOOKUP(D598,[1]apoio_Preços_MGS!$A$6:$AN$238,39,FALSE),0)</f>
        <v>0</v>
      </c>
      <c r="AM598" s="44">
        <f>TRUNC(ROUND(($I598)/(1-($I598)),5)*VLOOKUP(D598,[1]apoio_Preços_MGS!$A$6:$AN$238,39,FALSE)+VLOOKUP(D598,[1]apoio_Preços_MGS!$A$6:$AN$238,39,FALSE),2)</f>
        <v>210.52</v>
      </c>
      <c r="AN598" s="45">
        <f t="shared" si="308"/>
        <v>210.52</v>
      </c>
      <c r="AO598" s="44">
        <f>VLOOKUP(D598,[1]apoio_Preços_MGS!$A$6:$AN$238,40,FALSE)</f>
        <v>549.99</v>
      </c>
      <c r="AP598" s="44">
        <f>IF(J598="demais municípios",VLOOKUP(D598,[1]apoio_Preços_MGS!$A$6:$AN$238,40,FALSE),0)</f>
        <v>0</v>
      </c>
      <c r="AQ598" s="44">
        <f>TRUNC(ROUND(($I598)/(1-($I598)),5)*VLOOKUP(D598,[1]apoio_Preços_MGS!$A$6:$AN$238,40,FALSE)+VLOOKUP(D598,[1]apoio_Preços_MGS!$A$6:$AN$238,40,FALSE),2)</f>
        <v>578.92999999999995</v>
      </c>
      <c r="AR598" s="45">
        <f t="shared" si="309"/>
        <v>578.92999999999995</v>
      </c>
      <c r="AS598" s="45">
        <f t="shared" si="303"/>
        <v>789.44999999999993</v>
      </c>
      <c r="AT598" s="45">
        <f t="shared" si="306"/>
        <v>47366.999999999993</v>
      </c>
      <c r="AU598" s="62"/>
      <c r="AV598" s="46"/>
      <c r="AW598" s="47"/>
      <c r="AX598" s="48"/>
      <c r="AY598" s="49"/>
      <c r="BA598" s="48"/>
    </row>
    <row r="599" spans="1:53" ht="19.5" customHeight="1" x14ac:dyDescent="0.25">
      <c r="A599" s="33" t="str">
        <f t="shared" si="304"/>
        <v>156817400,05</v>
      </c>
      <c r="B599" s="33" t="str">
        <f t="shared" si="305"/>
        <v>20120,05</v>
      </c>
      <c r="C599" s="34" t="str">
        <f>VLOOKUP(D599,[1]apoio_Preços_MGS!$A$6:$B$238,2,FALSE)</f>
        <v>SUPERVISOR DE SERVIÇO</v>
      </c>
      <c r="D599" s="35">
        <v>2012</v>
      </c>
      <c r="E599" s="33" t="str">
        <f>VLOOKUP(D599,[1]apoio_Preços_MGS!$A$6:$F$238,6,FALSE)</f>
        <v>SUPERVISOR DE SERVIÇO - DIARISTA DIURNO</v>
      </c>
      <c r="F599" s="36">
        <f>IFERROR(VLOOKUP(D599,'[1]apoio_cód catmas'!$B$2:$C$863,2,FALSE),0)</f>
        <v>156817</v>
      </c>
      <c r="G599" s="33" t="str">
        <f>IF(H599="N/A",VLOOKUP(F599&amp;40,'[1]apoio_cód catmas'!$A$1:$G$233,4,FALSE),VLOOKUP(F599&amp;H599,'[1]apoio_cód catmas'!$A$1:$G$233,4,FALSE))</f>
        <v>SUPERVISOR DE SERVICOS - 40H OU 44H</v>
      </c>
      <c r="H599" s="36">
        <v>40</v>
      </c>
      <c r="I599" s="37">
        <v>0.05</v>
      </c>
      <c r="J599" s="38" t="s">
        <v>47</v>
      </c>
      <c r="K599" s="39">
        <v>293</v>
      </c>
      <c r="L599" s="39">
        <f>K599*54</f>
        <v>15822</v>
      </c>
      <c r="M599" s="40">
        <f>VLOOKUP(D599,[1]apoio_Preços_MGS!$A$6:$AN$238,18,FALSE)</f>
        <v>2968.3051711026692</v>
      </c>
      <c r="N599" s="40">
        <f>VLOOKUP(D599,[1]apoio_Preços_MGS!$A$6:$AN$238,19,FALSE)</f>
        <v>0</v>
      </c>
      <c r="O599" s="40">
        <f>VLOOKUP(D599,[1]apoio_Preços_MGS!$A$6:$AN$238,20,FALSE)</f>
        <v>0</v>
      </c>
      <c r="P599" s="40">
        <f>VLOOKUP(D599,[1]apoio_Preços_MGS!$A$6:$AN$238,21,FALSE)</f>
        <v>0</v>
      </c>
      <c r="Q599" s="40">
        <f>VLOOKUP(D599,[1]apoio_Preços_MGS!$A$6:$AN$238,22,FALSE)</f>
        <v>0</v>
      </c>
      <c r="R599" s="40">
        <f>VLOOKUP(D599,[1]apoio_Preços_MGS!$A$6:$AN$238,23,FALSE)</f>
        <v>0</v>
      </c>
      <c r="S599" s="40">
        <f>VLOOKUP(D599,[1]apoio_Preços_MGS!$A$6:$AN$238,24,FALSE)</f>
        <v>0</v>
      </c>
      <c r="T599" s="40">
        <f>VLOOKUP(D599,[1]apoio_Preços_MGS!$A$6:$AN$238,25,FALSE)</f>
        <v>0</v>
      </c>
      <c r="U599" s="40">
        <f t="shared" si="301"/>
        <v>2968.3051711026692</v>
      </c>
      <c r="V599" s="41">
        <v>0.81799999999999995</v>
      </c>
      <c r="W599" s="40">
        <f t="shared" si="302"/>
        <v>2428.0736299619834</v>
      </c>
      <c r="X599" s="40">
        <f>VLOOKUP(D599,[1]apoio_Preços_MGS!$A$6:$AN$238,29,FALSE)</f>
        <v>0</v>
      </c>
      <c r="Y599" s="40">
        <f>VLOOKUP(D599,[1]apoio_Preços_MGS!$A$6:$AN$238,30,FALSE)</f>
        <v>0</v>
      </c>
      <c r="Z599" s="40">
        <f t="shared" si="312"/>
        <v>0</v>
      </c>
      <c r="AA599" s="40">
        <f>VLOOKUP(D599,[1]apoio_Preços_MGS!$A$6:$AN$238,32,FALSE)</f>
        <v>5.6991459285171242</v>
      </c>
      <c r="AB599" s="40">
        <f>VLOOKUP(D599,[1]apoio_Preços_MGS!$A$6:$AN$238,33,FALSE)</f>
        <v>176.43955755271347</v>
      </c>
      <c r="AC599" s="41">
        <f>VLOOKUP(D599,[1]apoio_Preços_MGS!$A$6:$AN$238,34,FALSE)</f>
        <v>0</v>
      </c>
      <c r="AD599" s="40">
        <f>(U599+W599+Z599+AB599+AA599+VLOOKUP(C599,[1]apoio_Prec_Folha!$A:$S,7,FALSE))*AC599</f>
        <v>0</v>
      </c>
      <c r="AE599" s="42">
        <f>VLOOKUP(D599,[1]apoio_Preços_MGS!$A$6:$AN$238,36,FALSE)</f>
        <v>7.0000000000000007E-2</v>
      </c>
      <c r="AF599" s="40">
        <f>(U599+W599+Z599+AB599+AD599+AA599+VLOOKUP(C599,[1]apoio_Prec_Folha!$A:$S,7,FALSE))*AE599</f>
        <v>429.07098957676703</v>
      </c>
      <c r="AG599" s="40">
        <f t="shared" si="313"/>
        <v>6007.58</v>
      </c>
      <c r="AH599" s="43">
        <f t="shared" si="314"/>
        <v>7005.91</v>
      </c>
      <c r="AI599" s="43">
        <f t="shared" si="315"/>
        <v>2052731.63</v>
      </c>
      <c r="AJ599" s="43">
        <f t="shared" si="316"/>
        <v>110847508.02</v>
      </c>
      <c r="AK599" s="44">
        <f>VLOOKUP(D599,[1]apoio_Preços_MGS!$A$6:$AN$238,39,FALSE)</f>
        <v>181.81818181818184</v>
      </c>
      <c r="AL599" s="44">
        <f>IF(J599="demais municípios",VLOOKUP(D599,[1]apoio_Preços_MGS!$A$6:$AN$238,39,FALSE),0)</f>
        <v>0</v>
      </c>
      <c r="AM599" s="44">
        <f>TRUNC(ROUND(($I599)/(1-($I599)),5)*VLOOKUP(D599,[1]apoio_Preços_MGS!$A$6:$AN$238,39,FALSE)+VLOOKUP(D599,[1]apoio_Preços_MGS!$A$6:$AN$238,39,FALSE),2)</f>
        <v>191.38</v>
      </c>
      <c r="AN599" s="45">
        <f t="shared" si="308"/>
        <v>56074.34</v>
      </c>
      <c r="AO599" s="44">
        <f>VLOOKUP(D599,[1]apoio_Preços_MGS!$A$6:$AN$238,40,FALSE)</f>
        <v>551.05999999999995</v>
      </c>
      <c r="AP599" s="44">
        <f>IF(J599="demais municípios",VLOOKUP(D599,[1]apoio_Preços_MGS!$A$6:$AN$238,40,FALSE),0)</f>
        <v>0</v>
      </c>
      <c r="AQ599" s="44">
        <f>TRUNC(ROUND(($I599)/(1-($I599)),5)*VLOOKUP(D599,[1]apoio_Preços_MGS!$A$6:$AN$238,40,FALSE)+VLOOKUP(D599,[1]apoio_Preços_MGS!$A$6:$AN$238,40,FALSE),2)</f>
        <v>580.05999999999995</v>
      </c>
      <c r="AR599" s="45">
        <f t="shared" si="309"/>
        <v>169957.58</v>
      </c>
      <c r="AS599" s="45">
        <f t="shared" si="303"/>
        <v>226031.91999999998</v>
      </c>
      <c r="AT599" s="45">
        <f t="shared" si="306"/>
        <v>13561915.199999999</v>
      </c>
      <c r="AU599" s="62"/>
      <c r="AV599" s="46"/>
      <c r="AW599" s="47"/>
      <c r="AX599" s="48"/>
      <c r="AY599" s="49"/>
      <c r="BA599" s="48"/>
    </row>
    <row r="600" spans="1:53" ht="19.5" customHeight="1" x14ac:dyDescent="0.25">
      <c r="A600" s="33" t="str">
        <f t="shared" si="304"/>
        <v>106372300,05</v>
      </c>
      <c r="B600" s="33" t="str">
        <f t="shared" si="305"/>
        <v>11920,05</v>
      </c>
      <c r="C600" s="34" t="str">
        <f>VLOOKUP(D600,[1]apoio_Preços_MGS!$A$6:$B$238,2,FALSE)</f>
        <v>SUPORTE ADMINISTRATIVO</v>
      </c>
      <c r="D600" s="35">
        <v>1192</v>
      </c>
      <c r="E600" s="33" t="str">
        <f>VLOOKUP(D600,[1]apoio_Preços_MGS!$A$6:$F$238,6,FALSE)</f>
        <v>SUPORTE ADMINISTRATIVO - (PERIC.) - DIARISTA DIURNO - 30H</v>
      </c>
      <c r="F600" s="36">
        <f>IFERROR(VLOOKUP(D600,'[1]apoio_cód catmas'!$B$2:$C$863,2,FALSE),0)</f>
        <v>106372</v>
      </c>
      <c r="G600" s="33" t="str">
        <f>IF(H600="N/A",VLOOKUP(F600&amp;40,'[1]apoio_cód catmas'!$A$1:$G$233,4,FALSE),VLOOKUP(F600&amp;H600,'[1]apoio_cód catmas'!$A$1:$G$233,4,FALSE))</f>
        <v>SUPORTE ADMINISTRATIVO - (PERICULOSIDADE) -30H,36H,40H OU 44H</v>
      </c>
      <c r="H600" s="36">
        <v>30</v>
      </c>
      <c r="I600" s="37">
        <v>0.05</v>
      </c>
      <c r="J600" s="38" t="s">
        <v>47</v>
      </c>
      <c r="K600" s="39">
        <v>2</v>
      </c>
      <c r="L600" s="39">
        <f t="shared" si="307"/>
        <v>120</v>
      </c>
      <c r="M600" s="40">
        <f>VLOOKUP(D600,[1]apoio_Preços_MGS!$A$6:$AN$238,18,FALSE)</f>
        <v>2081.1579447782583</v>
      </c>
      <c r="N600" s="40">
        <f>VLOOKUP(D600,[1]apoio_Preços_MGS!$A$6:$AN$238,19,FALSE)</f>
        <v>624.34738343347749</v>
      </c>
      <c r="O600" s="40">
        <f>VLOOKUP(D600,[1]apoio_Preços_MGS!$A$6:$AN$238,20,FALSE)</f>
        <v>0</v>
      </c>
      <c r="P600" s="40">
        <f>VLOOKUP(D600,[1]apoio_Preços_MGS!$A$6:$AN$238,21,FALSE)</f>
        <v>0</v>
      </c>
      <c r="Q600" s="40">
        <f>VLOOKUP(D600,[1]apoio_Preços_MGS!$A$6:$AN$238,22,FALSE)</f>
        <v>0</v>
      </c>
      <c r="R600" s="40">
        <f>VLOOKUP(D600,[1]apoio_Preços_MGS!$A$6:$AN$238,23,FALSE)</f>
        <v>0</v>
      </c>
      <c r="S600" s="40">
        <f>VLOOKUP(D600,[1]apoio_Preços_MGS!$A$6:$AN$238,24,FALSE)</f>
        <v>0</v>
      </c>
      <c r="T600" s="40">
        <f>VLOOKUP(D600,[1]apoio_Preços_MGS!$A$6:$AN$238,25,FALSE)</f>
        <v>0</v>
      </c>
      <c r="U600" s="40">
        <f t="shared" si="301"/>
        <v>2705.505328211736</v>
      </c>
      <c r="V600" s="41">
        <v>0.81799999999999995</v>
      </c>
      <c r="W600" s="40">
        <f t="shared" si="302"/>
        <v>2213.1033584771999</v>
      </c>
      <c r="X600" s="40">
        <f>VLOOKUP(D600,[1]apoio_Preços_MGS!$A$6:$AN$238,29,FALSE)</f>
        <v>0</v>
      </c>
      <c r="Y600" s="40">
        <f>VLOOKUP(D600,[1]apoio_Preços_MGS!$A$6:$AN$238,30,FALSE)</f>
        <v>6.5772863955289598E-2</v>
      </c>
      <c r="Z600" s="40">
        <f t="shared" si="312"/>
        <v>6.5772863955289598E-2</v>
      </c>
      <c r="AA600" s="40">
        <f>VLOOKUP(D600,[1]apoio_Preços_MGS!$A$6:$AN$238,32,FALSE)</f>
        <v>3.9958232539742555</v>
      </c>
      <c r="AB600" s="40">
        <f>VLOOKUP(D600,[1]apoio_Preços_MGS!$A$6:$AN$238,33,FALSE)</f>
        <v>194.63476740272569</v>
      </c>
      <c r="AC600" s="41">
        <f>VLOOKUP(D600,[1]apoio_Preços_MGS!$A$6:$AN$238,34,FALSE)</f>
        <v>0</v>
      </c>
      <c r="AD600" s="40">
        <f>(U600+W600+Z600+AB600+AA600+VLOOKUP(C600,[1]apoio_Prec_Folha!$A:$S,7,FALSE))*AC600</f>
        <v>0</v>
      </c>
      <c r="AE600" s="42">
        <f>VLOOKUP(D600,[1]apoio_Preços_MGS!$A$6:$AN$238,36,FALSE)</f>
        <v>7.0000000000000007E-2</v>
      </c>
      <c r="AF600" s="40">
        <f>(U600+W600+Z600+AB600+AD600+AA600+VLOOKUP(C600,[1]apoio_Prec_Folha!$A:$S,7,FALSE))*AE600</f>
        <v>396.62773894734863</v>
      </c>
      <c r="AG600" s="40">
        <f t="shared" si="313"/>
        <v>5513.93</v>
      </c>
      <c r="AH600" s="43">
        <f t="shared" si="314"/>
        <v>6430.23</v>
      </c>
      <c r="AI600" s="43">
        <f t="shared" si="315"/>
        <v>12860.46</v>
      </c>
      <c r="AJ600" s="43">
        <f t="shared" si="316"/>
        <v>771627.6</v>
      </c>
      <c r="AK600" s="44">
        <f>VLOOKUP(D600,[1]apoio_Preços_MGS!$A$6:$AN$238,39,FALSE)</f>
        <v>136.36363636363637</v>
      </c>
      <c r="AL600" s="44">
        <f>IF(J600="demais municípios",VLOOKUP(D600,[1]apoio_Preços_MGS!$A$6:$AN$238,39,FALSE),0)</f>
        <v>0</v>
      </c>
      <c r="AM600" s="44">
        <f>TRUNC(ROUND(($I600)/(1-($I600)),5)*VLOOKUP(D600,[1]apoio_Preços_MGS!$A$6:$AN$238,39,FALSE)+VLOOKUP(D600,[1]apoio_Preços_MGS!$A$6:$AN$238,39,FALSE),2)</f>
        <v>143.54</v>
      </c>
      <c r="AN600" s="45">
        <f t="shared" si="308"/>
        <v>287.08</v>
      </c>
      <c r="AO600" s="44">
        <f>VLOOKUP(D600,[1]apoio_Preços_MGS!$A$6:$AN$238,40,FALSE)</f>
        <v>548.79999999999995</v>
      </c>
      <c r="AP600" s="44">
        <f>IF(J600="demais municípios",VLOOKUP(D600,[1]apoio_Preços_MGS!$A$6:$AN$238,40,FALSE),0)</f>
        <v>0</v>
      </c>
      <c r="AQ600" s="44">
        <f>TRUNC(ROUND(($I600)/(1-($I600)),5)*VLOOKUP(D600,[1]apoio_Preços_MGS!$A$6:$AN$238,40,FALSE)+VLOOKUP(D600,[1]apoio_Preços_MGS!$A$6:$AN$238,40,FALSE),2)</f>
        <v>577.67999999999995</v>
      </c>
      <c r="AR600" s="45">
        <f t="shared" si="309"/>
        <v>1155.3599999999999</v>
      </c>
      <c r="AS600" s="45">
        <f t="shared" si="303"/>
        <v>1442.4399999999998</v>
      </c>
      <c r="AT600" s="45">
        <f t="shared" si="306"/>
        <v>86546.4</v>
      </c>
      <c r="AU600" s="62"/>
      <c r="AV600" s="46"/>
      <c r="AW600" s="47"/>
      <c r="AX600" s="48"/>
      <c r="AY600" s="49"/>
      <c r="BA600" s="48"/>
    </row>
    <row r="601" spans="1:53" ht="19.5" customHeight="1" x14ac:dyDescent="0.25">
      <c r="A601" s="33" t="str">
        <f t="shared" si="304"/>
        <v>106372400,05</v>
      </c>
      <c r="B601" s="33" t="str">
        <f t="shared" si="305"/>
        <v>11930,05</v>
      </c>
      <c r="C601" s="34" t="str">
        <f>VLOOKUP(D601,[1]apoio_Preços_MGS!$A$6:$B$238,2,FALSE)</f>
        <v>SUPORTE ADMINISTRATIVO</v>
      </c>
      <c r="D601" s="35">
        <v>1193</v>
      </c>
      <c r="E601" s="33" t="str">
        <f>VLOOKUP(D601,[1]apoio_Preços_MGS!$A$6:$F$238,6,FALSE)</f>
        <v>SUPORTE ADMINISTRATIVO - (PERIC.) - DIARISTA DIURNO - 40H</v>
      </c>
      <c r="F601" s="36">
        <f>IFERROR(VLOOKUP(D601,'[1]apoio_cód catmas'!$B$2:$C$863,2,FALSE),0)</f>
        <v>106372</v>
      </c>
      <c r="G601" s="33" t="str">
        <f>IF(H601="N/A",VLOOKUP(F601&amp;40,'[1]apoio_cód catmas'!$A$1:$G$233,4,FALSE),VLOOKUP(F601&amp;H601,'[1]apoio_cód catmas'!$A$1:$G$233,4,FALSE))</f>
        <v>SUPORTE ADMINISTRATIVO - (PERICULOSIDADE) -30H,36H,40H OU 44H</v>
      </c>
      <c r="H601" s="36">
        <v>40</v>
      </c>
      <c r="I601" s="37">
        <v>0.05</v>
      </c>
      <c r="J601" s="38" t="s">
        <v>47</v>
      </c>
      <c r="K601" s="39">
        <v>4</v>
      </c>
      <c r="L601" s="39">
        <f t="shared" si="307"/>
        <v>240</v>
      </c>
      <c r="M601" s="40">
        <f>VLOOKUP(D601,[1]apoio_Preços_MGS!$A$6:$AN$238,18,FALSE)</f>
        <v>2774.8772597043444</v>
      </c>
      <c r="N601" s="40">
        <f>VLOOKUP(D601,[1]apoio_Preços_MGS!$A$6:$AN$238,19,FALSE)</f>
        <v>832.46317791130332</v>
      </c>
      <c r="O601" s="40">
        <f>VLOOKUP(D601,[1]apoio_Preços_MGS!$A$6:$AN$238,20,FALSE)</f>
        <v>0</v>
      </c>
      <c r="P601" s="40">
        <f>VLOOKUP(D601,[1]apoio_Preços_MGS!$A$6:$AN$238,21,FALSE)</f>
        <v>0</v>
      </c>
      <c r="Q601" s="40">
        <f>VLOOKUP(D601,[1]apoio_Preços_MGS!$A$6:$AN$238,22,FALSE)</f>
        <v>0</v>
      </c>
      <c r="R601" s="40">
        <f>VLOOKUP(D601,[1]apoio_Preços_MGS!$A$6:$AN$238,23,FALSE)</f>
        <v>0</v>
      </c>
      <c r="S601" s="40">
        <f>VLOOKUP(D601,[1]apoio_Preços_MGS!$A$6:$AN$238,24,FALSE)</f>
        <v>0</v>
      </c>
      <c r="T601" s="40">
        <f>VLOOKUP(D601,[1]apoio_Preços_MGS!$A$6:$AN$238,25,FALSE)</f>
        <v>0</v>
      </c>
      <c r="U601" s="40">
        <f t="shared" si="301"/>
        <v>3607.3404376156477</v>
      </c>
      <c r="V601" s="41">
        <v>0.81799999999999995</v>
      </c>
      <c r="W601" s="40">
        <f t="shared" si="302"/>
        <v>2950.8044779695997</v>
      </c>
      <c r="X601" s="40">
        <f>VLOOKUP(D601,[1]apoio_Preços_MGS!$A$6:$AN$238,29,FALSE)</f>
        <v>0</v>
      </c>
      <c r="Y601" s="40">
        <f>VLOOKUP(D601,[1]apoio_Preços_MGS!$A$6:$AN$238,30,FALSE)</f>
        <v>6.5772863955289598E-2</v>
      </c>
      <c r="Z601" s="40">
        <f t="shared" si="312"/>
        <v>6.5772863955289598E-2</v>
      </c>
      <c r="AA601" s="40">
        <f>VLOOKUP(D601,[1]apoio_Preços_MGS!$A$6:$AN$238,32,FALSE)</f>
        <v>5.327764338632341</v>
      </c>
      <c r="AB601" s="40">
        <f>VLOOKUP(D601,[1]apoio_Preços_MGS!$A$6:$AN$238,33,FALSE)</f>
        <v>168.10154139051505</v>
      </c>
      <c r="AC601" s="41">
        <f>VLOOKUP(D601,[1]apoio_Preços_MGS!$A$6:$AN$238,34,FALSE)</f>
        <v>0</v>
      </c>
      <c r="AD601" s="40">
        <f>(U601+W601+Z601+AB601+AA601+VLOOKUP(C601,[1]apoio_Prec_Folha!$A:$S,7,FALSE))*AC601</f>
        <v>0</v>
      </c>
      <c r="AE601" s="42">
        <f>VLOOKUP(D601,[1]apoio_Preços_MGS!$A$6:$AN$238,36,FALSE)</f>
        <v>7.0000000000000007E-2</v>
      </c>
      <c r="AF601" s="40">
        <f>(U601+W601+Z601+AB601+AD601+AA601+VLOOKUP(C601,[1]apoio_Prec_Folha!$A:$S,7,FALSE))*AE601</f>
        <v>509.63118502516181</v>
      </c>
      <c r="AG601" s="40">
        <f t="shared" si="313"/>
        <v>7241.27</v>
      </c>
      <c r="AH601" s="43">
        <f t="shared" si="314"/>
        <v>8444.6200000000008</v>
      </c>
      <c r="AI601" s="43">
        <f t="shared" si="315"/>
        <v>33778.480000000003</v>
      </c>
      <c r="AJ601" s="43">
        <f t="shared" si="316"/>
        <v>2026708.8000000003</v>
      </c>
      <c r="AK601" s="44">
        <f>VLOOKUP(D601,[1]apoio_Preços_MGS!$A$6:$AN$238,39,FALSE)</f>
        <v>181.81818181818184</v>
      </c>
      <c r="AL601" s="44">
        <f>IF(J601="demais municípios",VLOOKUP(D601,[1]apoio_Preços_MGS!$A$6:$AN$238,39,FALSE),0)</f>
        <v>0</v>
      </c>
      <c r="AM601" s="44">
        <f>TRUNC(ROUND(($I601)/(1-($I601)),5)*VLOOKUP(D601,[1]apoio_Preços_MGS!$A$6:$AN$238,39,FALSE)+VLOOKUP(D601,[1]apoio_Preços_MGS!$A$6:$AN$238,39,FALSE),2)</f>
        <v>191.38</v>
      </c>
      <c r="AN601" s="45">
        <f t="shared" si="308"/>
        <v>765.52</v>
      </c>
      <c r="AO601" s="44">
        <f>VLOOKUP(D601,[1]apoio_Preços_MGS!$A$6:$AN$238,40,FALSE)</f>
        <v>548.79999999999995</v>
      </c>
      <c r="AP601" s="44">
        <f>IF(J601="demais municípios",VLOOKUP(D601,[1]apoio_Preços_MGS!$A$6:$AN$238,40,FALSE),0)</f>
        <v>0</v>
      </c>
      <c r="AQ601" s="44">
        <f>TRUNC(ROUND(($I601)/(1-($I601)),5)*VLOOKUP(D601,[1]apoio_Preços_MGS!$A$6:$AN$238,40,FALSE)+VLOOKUP(D601,[1]apoio_Preços_MGS!$A$6:$AN$238,40,FALSE),2)</f>
        <v>577.67999999999995</v>
      </c>
      <c r="AR601" s="45">
        <f t="shared" si="309"/>
        <v>2310.7199999999998</v>
      </c>
      <c r="AS601" s="45">
        <f t="shared" si="303"/>
        <v>3076.24</v>
      </c>
      <c r="AT601" s="45">
        <f t="shared" si="306"/>
        <v>184574.4</v>
      </c>
      <c r="AU601" s="62"/>
      <c r="AV601" s="46"/>
      <c r="AW601" s="47"/>
      <c r="AX601" s="48"/>
      <c r="AY601" s="49"/>
      <c r="BA601" s="48"/>
    </row>
    <row r="602" spans="1:53" ht="19.5" customHeight="1" x14ac:dyDescent="0.25">
      <c r="A602" s="33" t="str">
        <f t="shared" si="304"/>
        <v>63339300,02</v>
      </c>
      <c r="B602" s="33" t="str">
        <f t="shared" si="305"/>
        <v>630,02</v>
      </c>
      <c r="C602" s="34" t="str">
        <f>VLOOKUP(D602,[1]apoio_Preços_MGS!$A$6:$B$238,2,FALSE)</f>
        <v>SUPORTE ADMINISTRATIVO</v>
      </c>
      <c r="D602" s="35">
        <v>63</v>
      </c>
      <c r="E602" s="33" t="str">
        <f>VLOOKUP(D602,[1]apoio_Preços_MGS!$A$6:$F$238,6,FALSE)</f>
        <v>SUPORTE ADMINISTRATIVO - DIARISTA DIURNO - 30H</v>
      </c>
      <c r="F602" s="36">
        <f>IFERROR(VLOOKUP(D602,'[1]apoio_cód catmas'!$B$2:$C$863,2,FALSE),0)</f>
        <v>63339</v>
      </c>
      <c r="G602" s="33" t="str">
        <f>IF(H602="N/A",VLOOKUP(F602&amp;40,'[1]apoio_cód catmas'!$A$1:$G$233,4,FALSE),VLOOKUP(F602&amp;H602,'[1]apoio_cód catmas'!$A$1:$G$233,4,FALSE))</f>
        <v>SUPORTE ADMINISTRATIVO - 30H, 36H, 40H OU 44H</v>
      </c>
      <c r="H602" s="36">
        <v>30</v>
      </c>
      <c r="I602" s="37">
        <v>0.02</v>
      </c>
      <c r="J602" s="38" t="s">
        <v>46</v>
      </c>
      <c r="K602" s="39">
        <v>2</v>
      </c>
      <c r="L602" s="39">
        <f t="shared" si="307"/>
        <v>120</v>
      </c>
      <c r="M602" s="40">
        <f>VLOOKUP(D602,[1]apoio_Preços_MGS!$A$6:$AN$238,18,FALSE)</f>
        <v>2081.1579447782583</v>
      </c>
      <c r="N602" s="40">
        <f>VLOOKUP(D602,[1]apoio_Preços_MGS!$A$6:$AN$238,19,FALSE)</f>
        <v>0</v>
      </c>
      <c r="O602" s="40">
        <f>VLOOKUP(D602,[1]apoio_Preços_MGS!$A$6:$AN$238,20,FALSE)</f>
        <v>0</v>
      </c>
      <c r="P602" s="40">
        <f>VLOOKUP(D602,[1]apoio_Preços_MGS!$A$6:$AN$238,21,FALSE)</f>
        <v>0</v>
      </c>
      <c r="Q602" s="40">
        <f>VLOOKUP(D602,[1]apoio_Preços_MGS!$A$6:$AN$238,22,FALSE)</f>
        <v>0</v>
      </c>
      <c r="R602" s="40">
        <f>VLOOKUP(D602,[1]apoio_Preços_MGS!$A$6:$AN$238,23,FALSE)</f>
        <v>0</v>
      </c>
      <c r="S602" s="40">
        <f>VLOOKUP(D602,[1]apoio_Preços_MGS!$A$6:$AN$238,24,FALSE)</f>
        <v>0</v>
      </c>
      <c r="T602" s="40">
        <f>VLOOKUP(D602,[1]apoio_Preços_MGS!$A$6:$AN$238,25,FALSE)</f>
        <v>0</v>
      </c>
      <c r="U602" s="40">
        <f t="shared" si="301"/>
        <v>2081.1579447782583</v>
      </c>
      <c r="V602" s="41">
        <v>0.81799999999999995</v>
      </c>
      <c r="W602" s="40">
        <f t="shared" si="302"/>
        <v>1702.3871988286153</v>
      </c>
      <c r="X602" s="40">
        <f>VLOOKUP(D602,[1]apoio_Preços_MGS!$A$6:$AN$238,29,FALSE)</f>
        <v>0</v>
      </c>
      <c r="Y602" s="40">
        <f>VLOOKUP(D602,[1]apoio_Preços_MGS!$A$6:$AN$238,30,FALSE)</f>
        <v>6.5772863955289598E-2</v>
      </c>
      <c r="Z602" s="40">
        <f t="shared" si="312"/>
        <v>6.5772863955289598E-2</v>
      </c>
      <c r="AA602" s="40">
        <f>VLOOKUP(D602,[1]apoio_Preços_MGS!$A$6:$AN$238,32,FALSE)</f>
        <v>3.9958232539742555</v>
      </c>
      <c r="AB602" s="40">
        <f>VLOOKUP(D602,[1]apoio_Preços_MGS!$A$6:$AN$238,33,FALSE)</f>
        <v>194.63476740272569</v>
      </c>
      <c r="AC602" s="41">
        <f>VLOOKUP(D602,[1]apoio_Preços_MGS!$A$6:$AN$238,34,FALSE)</f>
        <v>0</v>
      </c>
      <c r="AD602" s="40">
        <f>(U602+W602+Z602+AB602+AA602+VLOOKUP(C602,[1]apoio_Prec_Folha!$A:$S,7,FALSE))*AC602</f>
        <v>0</v>
      </c>
      <c r="AE602" s="42">
        <f>VLOOKUP(D602,[1]apoio_Preços_MGS!$A$6:$AN$238,36,FALSE)</f>
        <v>7.0000000000000007E-2</v>
      </c>
      <c r="AF602" s="40">
        <f>(U602+W602+Z602+AB602+AD602+AA602+VLOOKUP(C602,[1]apoio_Prec_Folha!$A:$S,7,FALSE))*AE602</f>
        <v>317.17329093160419</v>
      </c>
      <c r="AG602" s="40">
        <f t="shared" si="313"/>
        <v>4299.41</v>
      </c>
      <c r="AH602" s="43">
        <f t="shared" si="314"/>
        <v>4844.3999999999996</v>
      </c>
      <c r="AI602" s="43">
        <f t="shared" si="315"/>
        <v>9688.7999999999993</v>
      </c>
      <c r="AJ602" s="43">
        <f t="shared" si="316"/>
        <v>581328</v>
      </c>
      <c r="AK602" s="44">
        <f>VLOOKUP(D602,[1]apoio_Preços_MGS!$A$6:$AN$238,39,FALSE)</f>
        <v>136.36363636363637</v>
      </c>
      <c r="AL602" s="44">
        <f>IF(J602="demais municípios",VLOOKUP(D602,[1]apoio_Preços_MGS!$A$6:$AN$238,39,FALSE),0)</f>
        <v>136.36363636363637</v>
      </c>
      <c r="AM602" s="44">
        <v>0</v>
      </c>
      <c r="AN602" s="45">
        <f t="shared" ref="AN602:AN603" si="319">AK602*K602</f>
        <v>272.72727272727275</v>
      </c>
      <c r="AO602" s="44">
        <f>VLOOKUP(D602,[1]apoio_Preços_MGS!$A$6:$AN$238,40,FALSE)</f>
        <v>548.79999999999995</v>
      </c>
      <c r="AP602" s="44">
        <f>IF(J602="demais municípios",VLOOKUP(D602,[1]apoio_Preços_MGS!$A$6:$AN$238,40,FALSE),0)</f>
        <v>548.79999999999995</v>
      </c>
      <c r="AQ602" s="44">
        <v>0</v>
      </c>
      <c r="AR602" s="45">
        <f t="shared" ref="AR602:AR603" si="320">AO602*K602</f>
        <v>1097.5999999999999</v>
      </c>
      <c r="AS602" s="45">
        <f t="shared" si="303"/>
        <v>1370.3272727272727</v>
      </c>
      <c r="AT602" s="45">
        <f t="shared" si="306"/>
        <v>82219.636363636353</v>
      </c>
      <c r="AU602" s="62"/>
      <c r="AV602" s="46"/>
      <c r="AW602" s="47"/>
      <c r="AX602" s="48"/>
      <c r="AY602" s="49"/>
      <c r="BA602" s="48"/>
    </row>
    <row r="603" spans="1:53" ht="19.5" customHeight="1" x14ac:dyDescent="0.25">
      <c r="A603" s="33" t="str">
        <f t="shared" si="304"/>
        <v>63339300,03</v>
      </c>
      <c r="B603" s="33" t="str">
        <f t="shared" si="305"/>
        <v>630,03</v>
      </c>
      <c r="C603" s="34" t="str">
        <f>VLOOKUP(D603,[1]apoio_Preços_MGS!$A$6:$B$238,2,FALSE)</f>
        <v>SUPORTE ADMINISTRATIVO</v>
      </c>
      <c r="D603" s="35">
        <v>63</v>
      </c>
      <c r="E603" s="33" t="str">
        <f>VLOOKUP(D603,[1]apoio_Preços_MGS!$A$6:$F$238,6,FALSE)</f>
        <v>SUPORTE ADMINISTRATIVO - DIARISTA DIURNO - 30H</v>
      </c>
      <c r="F603" s="36">
        <f>IFERROR(VLOOKUP(D603,'[1]apoio_cód catmas'!$B$2:$C$863,2,FALSE),0)</f>
        <v>63339</v>
      </c>
      <c r="G603" s="33" t="str">
        <f>IF(H603="N/A",VLOOKUP(F603&amp;40,'[1]apoio_cód catmas'!$A$1:$G$233,4,FALSE),VLOOKUP(F603&amp;H603,'[1]apoio_cód catmas'!$A$1:$G$233,4,FALSE))</f>
        <v>SUPORTE ADMINISTRATIVO - 30H, 36H, 40H OU 44H</v>
      </c>
      <c r="H603" s="36">
        <v>30</v>
      </c>
      <c r="I603" s="37">
        <v>0.03</v>
      </c>
      <c r="J603" s="38" t="s">
        <v>46</v>
      </c>
      <c r="K603" s="39">
        <v>2</v>
      </c>
      <c r="L603" s="39">
        <f t="shared" si="307"/>
        <v>120</v>
      </c>
      <c r="M603" s="40">
        <f>VLOOKUP(D603,[1]apoio_Preços_MGS!$A$6:$AN$238,18,FALSE)</f>
        <v>2081.1579447782583</v>
      </c>
      <c r="N603" s="40">
        <f>VLOOKUP(D603,[1]apoio_Preços_MGS!$A$6:$AN$238,19,FALSE)</f>
        <v>0</v>
      </c>
      <c r="O603" s="40">
        <f>VLOOKUP(D603,[1]apoio_Preços_MGS!$A$6:$AN$238,20,FALSE)</f>
        <v>0</v>
      </c>
      <c r="P603" s="40">
        <f>VLOOKUP(D603,[1]apoio_Preços_MGS!$A$6:$AN$238,21,FALSE)</f>
        <v>0</v>
      </c>
      <c r="Q603" s="40">
        <f>VLOOKUP(D603,[1]apoio_Preços_MGS!$A$6:$AN$238,22,FALSE)</f>
        <v>0</v>
      </c>
      <c r="R603" s="40">
        <f>VLOOKUP(D603,[1]apoio_Preços_MGS!$A$6:$AN$238,23,FALSE)</f>
        <v>0</v>
      </c>
      <c r="S603" s="40">
        <f>VLOOKUP(D603,[1]apoio_Preços_MGS!$A$6:$AN$238,24,FALSE)</f>
        <v>0</v>
      </c>
      <c r="T603" s="40">
        <f>VLOOKUP(D603,[1]apoio_Preços_MGS!$A$6:$AN$238,25,FALSE)</f>
        <v>0</v>
      </c>
      <c r="U603" s="40">
        <f t="shared" si="301"/>
        <v>2081.1579447782583</v>
      </c>
      <c r="V603" s="41">
        <v>0.81799999999999995</v>
      </c>
      <c r="W603" s="40">
        <f t="shared" si="302"/>
        <v>1702.3871988286153</v>
      </c>
      <c r="X603" s="40">
        <f>VLOOKUP(D603,[1]apoio_Preços_MGS!$A$6:$AN$238,29,FALSE)</f>
        <v>0</v>
      </c>
      <c r="Y603" s="40">
        <f>VLOOKUP(D603,[1]apoio_Preços_MGS!$A$6:$AN$238,30,FALSE)</f>
        <v>6.5772863955289598E-2</v>
      </c>
      <c r="Z603" s="40">
        <f t="shared" si="312"/>
        <v>6.5772863955289598E-2</v>
      </c>
      <c r="AA603" s="40">
        <f>VLOOKUP(D603,[1]apoio_Preços_MGS!$A$6:$AN$238,32,FALSE)</f>
        <v>3.9958232539742555</v>
      </c>
      <c r="AB603" s="40">
        <f>VLOOKUP(D603,[1]apoio_Preços_MGS!$A$6:$AN$238,33,FALSE)</f>
        <v>194.63476740272569</v>
      </c>
      <c r="AC603" s="41">
        <f>VLOOKUP(D603,[1]apoio_Preços_MGS!$A$6:$AN$238,34,FALSE)</f>
        <v>0</v>
      </c>
      <c r="AD603" s="40">
        <f>(U603+W603+Z603+AB603+AA603+VLOOKUP(C603,[1]apoio_Prec_Folha!$A:$S,7,FALSE))*AC603</f>
        <v>0</v>
      </c>
      <c r="AE603" s="42">
        <f>VLOOKUP(D603,[1]apoio_Preços_MGS!$A$6:$AN$238,36,FALSE)</f>
        <v>7.0000000000000007E-2</v>
      </c>
      <c r="AF603" s="40">
        <f>(U603+W603+Z603+AB603+AD603+AA603+VLOOKUP(C603,[1]apoio_Prec_Folha!$A:$S,7,FALSE))*AE603</f>
        <v>317.17329093160419</v>
      </c>
      <c r="AG603" s="40">
        <f t="shared" si="313"/>
        <v>4299.41</v>
      </c>
      <c r="AH603" s="43">
        <f t="shared" si="314"/>
        <v>4899.6000000000004</v>
      </c>
      <c r="AI603" s="43">
        <f t="shared" si="315"/>
        <v>9799.2000000000007</v>
      </c>
      <c r="AJ603" s="43">
        <f t="shared" si="316"/>
        <v>587952</v>
      </c>
      <c r="AK603" s="44">
        <f>VLOOKUP(D603,[1]apoio_Preços_MGS!$A$6:$AN$238,39,FALSE)</f>
        <v>136.36363636363637</v>
      </c>
      <c r="AL603" s="44">
        <f>IF(J603="demais municípios",VLOOKUP(D603,[1]apoio_Preços_MGS!$A$6:$AN$238,39,FALSE),0)</f>
        <v>136.36363636363637</v>
      </c>
      <c r="AM603" s="44">
        <v>0</v>
      </c>
      <c r="AN603" s="45">
        <f t="shared" si="319"/>
        <v>272.72727272727275</v>
      </c>
      <c r="AO603" s="44">
        <f>VLOOKUP(D603,[1]apoio_Preços_MGS!$A$6:$AN$238,40,FALSE)</f>
        <v>548.79999999999995</v>
      </c>
      <c r="AP603" s="44">
        <f>IF(J603="demais municípios",VLOOKUP(D603,[1]apoio_Preços_MGS!$A$6:$AN$238,40,FALSE),0)</f>
        <v>548.79999999999995</v>
      </c>
      <c r="AQ603" s="44">
        <v>0</v>
      </c>
      <c r="AR603" s="45">
        <f t="shared" si="320"/>
        <v>1097.5999999999999</v>
      </c>
      <c r="AS603" s="45">
        <f t="shared" si="303"/>
        <v>1370.3272727272727</v>
      </c>
      <c r="AT603" s="45">
        <f t="shared" si="306"/>
        <v>82219.636363636353</v>
      </c>
      <c r="AU603" s="62"/>
      <c r="AV603" s="46"/>
      <c r="AW603" s="47"/>
      <c r="AX603" s="48"/>
      <c r="AY603" s="49"/>
      <c r="BA603" s="48"/>
    </row>
    <row r="604" spans="1:53" ht="19.5" customHeight="1" x14ac:dyDescent="0.25">
      <c r="A604" s="33" t="str">
        <f t="shared" si="304"/>
        <v>63339300,05</v>
      </c>
      <c r="B604" s="33" t="str">
        <f t="shared" si="305"/>
        <v>630,05</v>
      </c>
      <c r="C604" s="34" t="str">
        <f>VLOOKUP(D604,[1]apoio_Preços_MGS!$A$6:$B$238,2,FALSE)</f>
        <v>SUPORTE ADMINISTRATIVO</v>
      </c>
      <c r="D604" s="35">
        <v>63</v>
      </c>
      <c r="E604" s="33" t="str">
        <f>VLOOKUP(D604,[1]apoio_Preços_MGS!$A$6:$F$238,6,FALSE)</f>
        <v>SUPORTE ADMINISTRATIVO - DIARISTA DIURNO - 30H</v>
      </c>
      <c r="F604" s="36">
        <f>IFERROR(VLOOKUP(D604,'[1]apoio_cód catmas'!$B$2:$C$863,2,FALSE),0)</f>
        <v>63339</v>
      </c>
      <c r="G604" s="33" t="str">
        <f>IF(H604="N/A",VLOOKUP(F604&amp;40,'[1]apoio_cód catmas'!$A$1:$G$233,4,FALSE),VLOOKUP(F604&amp;H604,'[1]apoio_cód catmas'!$A$1:$G$233,4,FALSE))</f>
        <v>SUPORTE ADMINISTRATIVO - 30H, 36H, 40H OU 44H</v>
      </c>
      <c r="H604" s="36">
        <v>30</v>
      </c>
      <c r="I604" s="37">
        <v>0.05</v>
      </c>
      <c r="J604" s="38" t="s">
        <v>47</v>
      </c>
      <c r="K604" s="39">
        <v>49</v>
      </c>
      <c r="L604" s="39">
        <f t="shared" si="307"/>
        <v>2940</v>
      </c>
      <c r="M604" s="40">
        <f>VLOOKUP(D604,[1]apoio_Preços_MGS!$A$6:$AN$238,18,FALSE)</f>
        <v>2081.1579447782583</v>
      </c>
      <c r="N604" s="40">
        <f>VLOOKUP(D604,[1]apoio_Preços_MGS!$A$6:$AN$238,19,FALSE)</f>
        <v>0</v>
      </c>
      <c r="O604" s="40">
        <f>VLOOKUP(D604,[1]apoio_Preços_MGS!$A$6:$AN$238,20,FALSE)</f>
        <v>0</v>
      </c>
      <c r="P604" s="40">
        <f>VLOOKUP(D604,[1]apoio_Preços_MGS!$A$6:$AN$238,21,FALSE)</f>
        <v>0</v>
      </c>
      <c r="Q604" s="40">
        <f>VLOOKUP(D604,[1]apoio_Preços_MGS!$A$6:$AN$238,22,FALSE)</f>
        <v>0</v>
      </c>
      <c r="R604" s="40">
        <f>VLOOKUP(D604,[1]apoio_Preços_MGS!$A$6:$AN$238,23,FALSE)</f>
        <v>0</v>
      </c>
      <c r="S604" s="40">
        <f>VLOOKUP(D604,[1]apoio_Preços_MGS!$A$6:$AN$238,24,FALSE)</f>
        <v>0</v>
      </c>
      <c r="T604" s="40">
        <f>VLOOKUP(D604,[1]apoio_Preços_MGS!$A$6:$AN$238,25,FALSE)</f>
        <v>0</v>
      </c>
      <c r="U604" s="40">
        <f t="shared" si="301"/>
        <v>2081.1579447782583</v>
      </c>
      <c r="V604" s="41">
        <v>0.81799999999999995</v>
      </c>
      <c r="W604" s="40">
        <f t="shared" si="302"/>
        <v>1702.3871988286153</v>
      </c>
      <c r="X604" s="40">
        <f>VLOOKUP(D604,[1]apoio_Preços_MGS!$A$6:$AN$238,29,FALSE)</f>
        <v>0</v>
      </c>
      <c r="Y604" s="40">
        <f>VLOOKUP(D604,[1]apoio_Preços_MGS!$A$6:$AN$238,30,FALSE)</f>
        <v>6.5772863955289598E-2</v>
      </c>
      <c r="Z604" s="40">
        <f t="shared" si="312"/>
        <v>6.5772863955289598E-2</v>
      </c>
      <c r="AA604" s="40">
        <f>VLOOKUP(D604,[1]apoio_Preços_MGS!$A$6:$AN$238,32,FALSE)</f>
        <v>3.9958232539742555</v>
      </c>
      <c r="AB604" s="40">
        <f>VLOOKUP(D604,[1]apoio_Preços_MGS!$A$6:$AN$238,33,FALSE)</f>
        <v>194.63476740272569</v>
      </c>
      <c r="AC604" s="41">
        <f>VLOOKUP(D604,[1]apoio_Preços_MGS!$A$6:$AN$238,34,FALSE)</f>
        <v>0</v>
      </c>
      <c r="AD604" s="40">
        <f>(U604+W604+Z604+AB604+AA604+VLOOKUP(C604,[1]apoio_Prec_Folha!$A:$S,7,FALSE))*AC604</f>
        <v>0</v>
      </c>
      <c r="AE604" s="42">
        <f>VLOOKUP(D604,[1]apoio_Preços_MGS!$A$6:$AN$238,36,FALSE)</f>
        <v>7.0000000000000007E-2</v>
      </c>
      <c r="AF604" s="40">
        <f>(U604+W604+Z604+AB604+AD604+AA604+VLOOKUP(C604,[1]apoio_Prec_Folha!$A:$S,7,FALSE))*AE604</f>
        <v>317.17329093160419</v>
      </c>
      <c r="AG604" s="40">
        <f t="shared" si="313"/>
        <v>4299.41</v>
      </c>
      <c r="AH604" s="43">
        <f t="shared" si="314"/>
        <v>5013.88</v>
      </c>
      <c r="AI604" s="43">
        <f t="shared" si="315"/>
        <v>245680.12</v>
      </c>
      <c r="AJ604" s="43">
        <f t="shared" si="316"/>
        <v>14740807.200000001</v>
      </c>
      <c r="AK604" s="44">
        <f>VLOOKUP(D604,[1]apoio_Preços_MGS!$A$6:$AN$238,39,FALSE)</f>
        <v>136.36363636363637</v>
      </c>
      <c r="AL604" s="44">
        <f>IF(J604="demais municípios",VLOOKUP(D604,[1]apoio_Preços_MGS!$A$6:$AN$238,39,FALSE),0)</f>
        <v>0</v>
      </c>
      <c r="AM604" s="44">
        <f>TRUNC(ROUND(($I604)/(1-($I604)),5)*VLOOKUP(D604,[1]apoio_Preços_MGS!$A$6:$AN$238,39,FALSE)+VLOOKUP(D604,[1]apoio_Preços_MGS!$A$6:$AN$238,39,FALSE),2)</f>
        <v>143.54</v>
      </c>
      <c r="AN604" s="45">
        <f t="shared" si="308"/>
        <v>7033.46</v>
      </c>
      <c r="AO604" s="44">
        <f>VLOOKUP(D604,[1]apoio_Preços_MGS!$A$6:$AN$238,40,FALSE)</f>
        <v>548.79999999999995</v>
      </c>
      <c r="AP604" s="44">
        <f>IF(J604="demais municípios",VLOOKUP(D604,[1]apoio_Preços_MGS!$A$6:$AN$238,40,FALSE),0)</f>
        <v>0</v>
      </c>
      <c r="AQ604" s="44">
        <f>TRUNC(ROUND(($I604)/(1-($I604)),5)*VLOOKUP(D604,[1]apoio_Preços_MGS!$A$6:$AN$238,40,FALSE)+VLOOKUP(D604,[1]apoio_Preços_MGS!$A$6:$AN$238,40,FALSE),2)</f>
        <v>577.67999999999995</v>
      </c>
      <c r="AR604" s="45">
        <f t="shared" si="309"/>
        <v>28306.319999999996</v>
      </c>
      <c r="AS604" s="45">
        <f t="shared" si="303"/>
        <v>35339.78</v>
      </c>
      <c r="AT604" s="45">
        <f t="shared" si="306"/>
        <v>2120386.7999999998</v>
      </c>
      <c r="AU604" s="62"/>
      <c r="AV604" s="46"/>
      <c r="AW604" s="47"/>
      <c r="AX604" s="48"/>
      <c r="AY604" s="49"/>
      <c r="BA604" s="48"/>
    </row>
    <row r="605" spans="1:53" ht="19.5" customHeight="1" x14ac:dyDescent="0.25">
      <c r="A605" s="33" t="str">
        <f t="shared" si="304"/>
        <v>63339300,05</v>
      </c>
      <c r="B605" s="33" t="str">
        <f t="shared" si="305"/>
        <v>630,05</v>
      </c>
      <c r="C605" s="34" t="str">
        <f>VLOOKUP(D605,[1]apoio_Preços_MGS!$A$6:$B$238,2,FALSE)</f>
        <v>SUPORTE ADMINISTRATIVO</v>
      </c>
      <c r="D605" s="35">
        <v>63</v>
      </c>
      <c r="E605" s="33" t="str">
        <f>VLOOKUP(D605,[1]apoio_Preços_MGS!$A$6:$F$238,6,FALSE)</f>
        <v>SUPORTE ADMINISTRATIVO - DIARISTA DIURNO - 30H</v>
      </c>
      <c r="F605" s="36">
        <f>IFERROR(VLOOKUP(D605,'[1]apoio_cód catmas'!$B$2:$C$863,2,FALSE),0)</f>
        <v>63339</v>
      </c>
      <c r="G605" s="33" t="str">
        <f>IF(H605="N/A",VLOOKUP(F605&amp;40,'[1]apoio_cód catmas'!$A$1:$G$233,4,FALSE),VLOOKUP(F605&amp;H605,'[1]apoio_cód catmas'!$A$1:$G$233,4,FALSE))</f>
        <v>SUPORTE ADMINISTRATIVO - 30H, 36H, 40H OU 44H</v>
      </c>
      <c r="H605" s="36">
        <v>30</v>
      </c>
      <c r="I605" s="37">
        <v>0.05</v>
      </c>
      <c r="J605" s="38" t="s">
        <v>47</v>
      </c>
      <c r="K605" s="39">
        <v>1</v>
      </c>
      <c r="L605" s="39">
        <f>K605*56</f>
        <v>56</v>
      </c>
      <c r="M605" s="40">
        <f>VLOOKUP(D605,[1]apoio_Preços_MGS!$A$6:$AN$238,18,FALSE)</f>
        <v>2081.1579447782583</v>
      </c>
      <c r="N605" s="40">
        <f>VLOOKUP(D605,[1]apoio_Preços_MGS!$A$6:$AN$238,19,FALSE)</f>
        <v>0</v>
      </c>
      <c r="O605" s="40">
        <f>VLOOKUP(D605,[1]apoio_Preços_MGS!$A$6:$AN$238,20,FALSE)</f>
        <v>0</v>
      </c>
      <c r="P605" s="40">
        <f>VLOOKUP(D605,[1]apoio_Preços_MGS!$A$6:$AN$238,21,FALSE)</f>
        <v>0</v>
      </c>
      <c r="Q605" s="40">
        <f>VLOOKUP(D605,[1]apoio_Preços_MGS!$A$6:$AN$238,22,FALSE)</f>
        <v>0</v>
      </c>
      <c r="R605" s="40">
        <f>VLOOKUP(D605,[1]apoio_Preços_MGS!$A$6:$AN$238,23,FALSE)</f>
        <v>0</v>
      </c>
      <c r="S605" s="40">
        <f>VLOOKUP(D605,[1]apoio_Preços_MGS!$A$6:$AN$238,24,FALSE)</f>
        <v>0</v>
      </c>
      <c r="T605" s="40">
        <f>VLOOKUP(D605,[1]apoio_Preços_MGS!$A$6:$AN$238,25,FALSE)</f>
        <v>0</v>
      </c>
      <c r="U605" s="40">
        <f t="shared" si="301"/>
        <v>2081.1579447782583</v>
      </c>
      <c r="V605" s="41">
        <v>0.81799999999999995</v>
      </c>
      <c r="W605" s="40">
        <f t="shared" si="302"/>
        <v>1702.3871988286153</v>
      </c>
      <c r="X605" s="40">
        <f>VLOOKUP(D605,[1]apoio_Preços_MGS!$A$6:$AN$238,29,FALSE)</f>
        <v>0</v>
      </c>
      <c r="Y605" s="40">
        <f>VLOOKUP(D605,[1]apoio_Preços_MGS!$A$6:$AN$238,30,FALSE)</f>
        <v>6.5772863955289598E-2</v>
      </c>
      <c r="Z605" s="40">
        <f t="shared" si="312"/>
        <v>6.5772863955289598E-2</v>
      </c>
      <c r="AA605" s="40">
        <f>VLOOKUP(D605,[1]apoio_Preços_MGS!$A$6:$AN$238,32,FALSE)</f>
        <v>3.9958232539742555</v>
      </c>
      <c r="AB605" s="40">
        <f>VLOOKUP(D605,[1]apoio_Preços_MGS!$A$6:$AN$238,33,FALSE)</f>
        <v>194.63476740272569</v>
      </c>
      <c r="AC605" s="41">
        <f>VLOOKUP(D605,[1]apoio_Preços_MGS!$A$6:$AN$238,34,FALSE)</f>
        <v>0</v>
      </c>
      <c r="AD605" s="40">
        <f>(U605+W605+Z605+AB605+AA605+VLOOKUP(C605,[1]apoio_Prec_Folha!$A:$S,7,FALSE))*AC605</f>
        <v>0</v>
      </c>
      <c r="AE605" s="42">
        <f>VLOOKUP(D605,[1]apoio_Preços_MGS!$A$6:$AN$238,36,FALSE)</f>
        <v>7.0000000000000007E-2</v>
      </c>
      <c r="AF605" s="40">
        <f>(U605+W605+Z605+AB605+AD605+AA605+VLOOKUP(C605,[1]apoio_Prec_Folha!$A:$S,7,FALSE))*AE605</f>
        <v>317.17329093160419</v>
      </c>
      <c r="AG605" s="40">
        <f t="shared" si="313"/>
        <v>4299.41</v>
      </c>
      <c r="AH605" s="43">
        <f t="shared" si="314"/>
        <v>5013.88</v>
      </c>
      <c r="AI605" s="43">
        <f t="shared" si="315"/>
        <v>5013.88</v>
      </c>
      <c r="AJ605" s="43">
        <f t="shared" si="316"/>
        <v>280777.28000000003</v>
      </c>
      <c r="AK605" s="44">
        <f>VLOOKUP(D605,[1]apoio_Preços_MGS!$A$6:$AN$238,39,FALSE)</f>
        <v>136.36363636363637</v>
      </c>
      <c r="AL605" s="44">
        <f>IF(J605="demais municípios",VLOOKUP(D605,[1]apoio_Preços_MGS!$A$6:$AN$238,39,FALSE),0)</f>
        <v>0</v>
      </c>
      <c r="AM605" s="44">
        <f>TRUNC(ROUND(($I605)/(1-($I605)),5)*VLOOKUP(D605,[1]apoio_Preços_MGS!$A$6:$AN$238,39,FALSE)+VLOOKUP(D605,[1]apoio_Preços_MGS!$A$6:$AN$238,39,FALSE),2)</f>
        <v>143.54</v>
      </c>
      <c r="AN605" s="45">
        <f t="shared" si="308"/>
        <v>143.54</v>
      </c>
      <c r="AO605" s="44">
        <f>VLOOKUP(D605,[1]apoio_Preços_MGS!$A$6:$AN$238,40,FALSE)</f>
        <v>548.79999999999995</v>
      </c>
      <c r="AP605" s="44">
        <f>IF(J605="demais municípios",VLOOKUP(D605,[1]apoio_Preços_MGS!$A$6:$AN$238,40,FALSE),0)</f>
        <v>0</v>
      </c>
      <c r="AQ605" s="44">
        <f>TRUNC(ROUND(($I605)/(1-($I605)),5)*VLOOKUP(D605,[1]apoio_Preços_MGS!$A$6:$AN$238,40,FALSE)+VLOOKUP(D605,[1]apoio_Preços_MGS!$A$6:$AN$238,40,FALSE),2)</f>
        <v>577.67999999999995</v>
      </c>
      <c r="AR605" s="45">
        <f t="shared" si="309"/>
        <v>577.67999999999995</v>
      </c>
      <c r="AS605" s="45">
        <f t="shared" si="303"/>
        <v>721.21999999999991</v>
      </c>
      <c r="AT605" s="45">
        <f t="shared" si="306"/>
        <v>43273.2</v>
      </c>
      <c r="AU605" s="62"/>
      <c r="AV605" s="46"/>
      <c r="AW605" s="47"/>
      <c r="AX605" s="48"/>
      <c r="AY605" s="49"/>
      <c r="BA605" s="48"/>
    </row>
    <row r="606" spans="1:53" ht="19.5" customHeight="1" x14ac:dyDescent="0.25">
      <c r="A606" s="33" t="str">
        <f t="shared" si="304"/>
        <v>63339300,05</v>
      </c>
      <c r="B606" s="33" t="str">
        <f t="shared" si="305"/>
        <v>630,05</v>
      </c>
      <c r="C606" s="34" t="str">
        <f>VLOOKUP(D606,[1]apoio_Preços_MGS!$A$6:$B$238,2,FALSE)</f>
        <v>SUPORTE ADMINISTRATIVO</v>
      </c>
      <c r="D606" s="35">
        <v>63</v>
      </c>
      <c r="E606" s="33" t="str">
        <f>VLOOKUP(D606,[1]apoio_Preços_MGS!$A$6:$F$238,6,FALSE)</f>
        <v>SUPORTE ADMINISTRATIVO - DIARISTA DIURNO - 30H</v>
      </c>
      <c r="F606" s="36">
        <f>IFERROR(VLOOKUP(D606,'[1]apoio_cód catmas'!$B$2:$C$863,2,FALSE),0)</f>
        <v>63339</v>
      </c>
      <c r="G606" s="33" t="str">
        <f>IF(H606="N/A",VLOOKUP(F606&amp;40,'[1]apoio_cód catmas'!$A$1:$G$233,4,FALSE),VLOOKUP(F606&amp;H606,'[1]apoio_cód catmas'!$A$1:$G$233,4,FALSE))</f>
        <v>SUPORTE ADMINISTRATIVO - 30H, 36H, 40H OU 44H</v>
      </c>
      <c r="H606" s="36">
        <v>30</v>
      </c>
      <c r="I606" s="37">
        <v>0.05</v>
      </c>
      <c r="J606" s="38" t="s">
        <v>47</v>
      </c>
      <c r="K606" s="39">
        <v>3</v>
      </c>
      <c r="L606" s="39">
        <f>K606*52</f>
        <v>156</v>
      </c>
      <c r="M606" s="40">
        <f>VLOOKUP(D606,[1]apoio_Preços_MGS!$A$6:$AN$238,18,FALSE)</f>
        <v>2081.1579447782583</v>
      </c>
      <c r="N606" s="40">
        <f>VLOOKUP(D606,[1]apoio_Preços_MGS!$A$6:$AN$238,19,FALSE)</f>
        <v>0</v>
      </c>
      <c r="O606" s="40">
        <f>VLOOKUP(D606,[1]apoio_Preços_MGS!$A$6:$AN$238,20,FALSE)</f>
        <v>0</v>
      </c>
      <c r="P606" s="40">
        <f>VLOOKUP(D606,[1]apoio_Preços_MGS!$A$6:$AN$238,21,FALSE)</f>
        <v>0</v>
      </c>
      <c r="Q606" s="40">
        <f>VLOOKUP(D606,[1]apoio_Preços_MGS!$A$6:$AN$238,22,FALSE)</f>
        <v>0</v>
      </c>
      <c r="R606" s="40">
        <f>VLOOKUP(D606,[1]apoio_Preços_MGS!$A$6:$AN$238,23,FALSE)</f>
        <v>0</v>
      </c>
      <c r="S606" s="40">
        <f>VLOOKUP(D606,[1]apoio_Preços_MGS!$A$6:$AN$238,24,FALSE)</f>
        <v>0</v>
      </c>
      <c r="T606" s="40">
        <f>VLOOKUP(D606,[1]apoio_Preços_MGS!$A$6:$AN$238,25,FALSE)</f>
        <v>0</v>
      </c>
      <c r="U606" s="40">
        <f t="shared" si="301"/>
        <v>2081.1579447782583</v>
      </c>
      <c r="V606" s="41">
        <v>0.81799999999999995</v>
      </c>
      <c r="W606" s="40">
        <f t="shared" si="302"/>
        <v>1702.3871988286153</v>
      </c>
      <c r="X606" s="40">
        <f>VLOOKUP(D606,[1]apoio_Preços_MGS!$A$6:$AN$238,29,FALSE)</f>
        <v>0</v>
      </c>
      <c r="Y606" s="40">
        <f>VLOOKUP(D606,[1]apoio_Preços_MGS!$A$6:$AN$238,30,FALSE)</f>
        <v>6.5772863955289598E-2</v>
      </c>
      <c r="Z606" s="40">
        <f t="shared" si="312"/>
        <v>6.5772863955289598E-2</v>
      </c>
      <c r="AA606" s="40">
        <f>VLOOKUP(D606,[1]apoio_Preços_MGS!$A$6:$AN$238,32,FALSE)</f>
        <v>3.9958232539742555</v>
      </c>
      <c r="AB606" s="40">
        <f>VLOOKUP(D606,[1]apoio_Preços_MGS!$A$6:$AN$238,33,FALSE)</f>
        <v>194.63476740272569</v>
      </c>
      <c r="AC606" s="41">
        <f>VLOOKUP(D606,[1]apoio_Preços_MGS!$A$6:$AN$238,34,FALSE)</f>
        <v>0</v>
      </c>
      <c r="AD606" s="40">
        <f>(U606+W606+Z606+AB606+AA606+VLOOKUP(C606,[1]apoio_Prec_Folha!$A:$S,7,FALSE))*AC606</f>
        <v>0</v>
      </c>
      <c r="AE606" s="42">
        <f>VLOOKUP(D606,[1]apoio_Preços_MGS!$A$6:$AN$238,36,FALSE)</f>
        <v>7.0000000000000007E-2</v>
      </c>
      <c r="AF606" s="40">
        <f>(U606+W606+Z606+AB606+AD606+AA606+VLOOKUP(C606,[1]apoio_Prec_Folha!$A:$S,7,FALSE))*AE606</f>
        <v>317.17329093160419</v>
      </c>
      <c r="AG606" s="40">
        <f t="shared" si="313"/>
        <v>4299.41</v>
      </c>
      <c r="AH606" s="43">
        <f t="shared" si="314"/>
        <v>5013.88</v>
      </c>
      <c r="AI606" s="43">
        <f t="shared" si="315"/>
        <v>15041.64</v>
      </c>
      <c r="AJ606" s="43">
        <f t="shared" si="316"/>
        <v>782165.28</v>
      </c>
      <c r="AK606" s="44">
        <f>VLOOKUP(D606,[1]apoio_Preços_MGS!$A$6:$AN$238,39,FALSE)</f>
        <v>136.36363636363637</v>
      </c>
      <c r="AL606" s="44">
        <f>IF(J606="demais municípios",VLOOKUP(D606,[1]apoio_Preços_MGS!$A$6:$AN$238,39,FALSE),0)</f>
        <v>0</v>
      </c>
      <c r="AM606" s="44">
        <f>TRUNC(ROUND(($I606)/(1-($I606)),5)*VLOOKUP(D606,[1]apoio_Preços_MGS!$A$6:$AN$238,39,FALSE)+VLOOKUP(D606,[1]apoio_Preços_MGS!$A$6:$AN$238,39,FALSE),2)</f>
        <v>143.54</v>
      </c>
      <c r="AN606" s="45">
        <f t="shared" si="308"/>
        <v>430.62</v>
      </c>
      <c r="AO606" s="44">
        <f>VLOOKUP(D606,[1]apoio_Preços_MGS!$A$6:$AN$238,40,FALSE)</f>
        <v>548.79999999999995</v>
      </c>
      <c r="AP606" s="44">
        <f>IF(J606="demais municípios",VLOOKUP(D606,[1]apoio_Preços_MGS!$A$6:$AN$238,40,FALSE),0)</f>
        <v>0</v>
      </c>
      <c r="AQ606" s="44">
        <f>TRUNC(ROUND(($I606)/(1-($I606)),5)*VLOOKUP(D606,[1]apoio_Preços_MGS!$A$6:$AN$238,40,FALSE)+VLOOKUP(D606,[1]apoio_Preços_MGS!$A$6:$AN$238,40,FALSE),2)</f>
        <v>577.67999999999995</v>
      </c>
      <c r="AR606" s="45">
        <f t="shared" si="309"/>
        <v>1733.04</v>
      </c>
      <c r="AS606" s="45">
        <f t="shared" si="303"/>
        <v>2163.66</v>
      </c>
      <c r="AT606" s="45">
        <f t="shared" si="306"/>
        <v>129819.59999999999</v>
      </c>
      <c r="AU606" s="62"/>
      <c r="AV606" s="46"/>
      <c r="AW606" s="47"/>
      <c r="AX606" s="48"/>
      <c r="AY606" s="49"/>
      <c r="BA606" s="48"/>
    </row>
    <row r="607" spans="1:53" ht="19.5" customHeight="1" x14ac:dyDescent="0.25">
      <c r="A607" s="33" t="str">
        <f t="shared" si="304"/>
        <v>63339360,03</v>
      </c>
      <c r="B607" s="33" t="str">
        <f t="shared" si="305"/>
        <v>620,03</v>
      </c>
      <c r="C607" s="34" t="str">
        <f>VLOOKUP(D607,[1]apoio_Preços_MGS!$A$6:$B$238,2,FALSE)</f>
        <v>SUPORTE ADMINISTRATIVO</v>
      </c>
      <c r="D607" s="35">
        <v>62</v>
      </c>
      <c r="E607" s="33" t="str">
        <f>VLOOKUP(D607,[1]apoio_Preços_MGS!$A$6:$F$238,6,FALSE)</f>
        <v>SUPORTE ADMINISTRATIVO - DIARISTA DIURNO - 36H</v>
      </c>
      <c r="F607" s="36">
        <f>IFERROR(VLOOKUP(D607,'[1]apoio_cód catmas'!$B$2:$C$863,2,FALSE),0)</f>
        <v>63339</v>
      </c>
      <c r="G607" s="33" t="str">
        <f>IF(H607="N/A",VLOOKUP(F607&amp;40,'[1]apoio_cód catmas'!$A$1:$G$233,4,FALSE),VLOOKUP(F607&amp;H607,'[1]apoio_cód catmas'!$A$1:$G$233,4,FALSE))</f>
        <v>SUPORTE ADMINISTRATIVO - 30H, 36H, 40H OU 44H</v>
      </c>
      <c r="H607" s="36">
        <v>36</v>
      </c>
      <c r="I607" s="37">
        <v>0.03</v>
      </c>
      <c r="J607" s="38" t="s">
        <v>46</v>
      </c>
      <c r="K607" s="39">
        <v>2</v>
      </c>
      <c r="L607" s="39">
        <f t="shared" si="307"/>
        <v>120</v>
      </c>
      <c r="M607" s="40">
        <f>VLOOKUP(D607,[1]apoio_Preços_MGS!$A$6:$AN$238,18,FALSE)</f>
        <v>2497.38953373391</v>
      </c>
      <c r="N607" s="40">
        <f>VLOOKUP(D607,[1]apoio_Preços_MGS!$A$6:$AN$238,19,FALSE)</f>
        <v>0</v>
      </c>
      <c r="O607" s="40">
        <f>VLOOKUP(D607,[1]apoio_Preços_MGS!$A$6:$AN$238,20,FALSE)</f>
        <v>0</v>
      </c>
      <c r="P607" s="40">
        <f>VLOOKUP(D607,[1]apoio_Preços_MGS!$A$6:$AN$238,21,FALSE)</f>
        <v>0</v>
      </c>
      <c r="Q607" s="40">
        <f>VLOOKUP(D607,[1]apoio_Preços_MGS!$A$6:$AN$238,22,FALSE)</f>
        <v>0</v>
      </c>
      <c r="R607" s="40">
        <f>VLOOKUP(D607,[1]apoio_Preços_MGS!$A$6:$AN$238,23,FALSE)</f>
        <v>0</v>
      </c>
      <c r="S607" s="40">
        <f>VLOOKUP(D607,[1]apoio_Preços_MGS!$A$6:$AN$238,24,FALSE)</f>
        <v>0</v>
      </c>
      <c r="T607" s="40">
        <f>VLOOKUP(D607,[1]apoio_Preços_MGS!$A$6:$AN$238,25,FALSE)</f>
        <v>0</v>
      </c>
      <c r="U607" s="40">
        <f t="shared" si="301"/>
        <v>2497.38953373391</v>
      </c>
      <c r="V607" s="41">
        <v>0.81799999999999995</v>
      </c>
      <c r="W607" s="40">
        <f t="shared" si="302"/>
        <v>2042.8646385943382</v>
      </c>
      <c r="X607" s="40">
        <f>VLOOKUP(D607,[1]apoio_Preços_MGS!$A$6:$AN$238,29,FALSE)</f>
        <v>0</v>
      </c>
      <c r="Y607" s="40">
        <f>VLOOKUP(D607,[1]apoio_Preços_MGS!$A$6:$AN$238,30,FALSE)</f>
        <v>6.5772863955289598E-2</v>
      </c>
      <c r="Z607" s="40">
        <f t="shared" si="312"/>
        <v>6.5772863955289598E-2</v>
      </c>
      <c r="AA607" s="40">
        <f>VLOOKUP(D607,[1]apoio_Preços_MGS!$A$6:$AN$238,32,FALSE)</f>
        <v>4.7949879047691066</v>
      </c>
      <c r="AB607" s="40">
        <f>VLOOKUP(D607,[1]apoio_Preços_MGS!$A$6:$AN$238,33,FALSE)</f>
        <v>178.71483179539931</v>
      </c>
      <c r="AC607" s="41">
        <f>VLOOKUP(D607,[1]apoio_Preços_MGS!$A$6:$AN$238,34,FALSE)</f>
        <v>0</v>
      </c>
      <c r="AD607" s="40">
        <f>(U607+W607+Z607+AB607+AA607+VLOOKUP(C607,[1]apoio_Prec_Folha!$A:$S,7,FALSE))*AC607</f>
        <v>0</v>
      </c>
      <c r="AE607" s="42">
        <f>VLOOKUP(D607,[1]apoio_Preços_MGS!$A$6:$AN$238,36,FALSE)</f>
        <v>7.0000000000000007E-2</v>
      </c>
      <c r="AF607" s="40">
        <f>(U607+W607+Z607+AB607+AD607+AA607+VLOOKUP(C607,[1]apoio_Prec_Folha!$A:$S,7,FALSE))*AE607</f>
        <v>369.0844689751433</v>
      </c>
      <c r="AG607" s="40">
        <f t="shared" si="313"/>
        <v>5092.91</v>
      </c>
      <c r="AH607" s="43">
        <f t="shared" si="314"/>
        <v>5803.88</v>
      </c>
      <c r="AI607" s="43">
        <f t="shared" si="315"/>
        <v>11607.76</v>
      </c>
      <c r="AJ607" s="43">
        <f t="shared" si="316"/>
        <v>696465.6</v>
      </c>
      <c r="AK607" s="44">
        <f>VLOOKUP(D607,[1]apoio_Preços_MGS!$A$6:$AN$238,39,FALSE)</f>
        <v>163.63636363636365</v>
      </c>
      <c r="AL607" s="44">
        <f>IF(J607="demais municípios",VLOOKUP(D607,[1]apoio_Preços_MGS!$A$6:$AN$238,39,FALSE),0)</f>
        <v>163.63636363636365</v>
      </c>
      <c r="AM607" s="44">
        <v>0</v>
      </c>
      <c r="AN607" s="45">
        <f>AK607*K607</f>
        <v>327.27272727272731</v>
      </c>
      <c r="AO607" s="44">
        <f>VLOOKUP(D607,[1]apoio_Preços_MGS!$A$6:$AN$238,40,FALSE)</f>
        <v>648.58000000000004</v>
      </c>
      <c r="AP607" s="44">
        <f>IF(J607="demais municípios",VLOOKUP(D607,[1]apoio_Preços_MGS!$A$6:$AN$238,40,FALSE),0)</f>
        <v>648.58000000000004</v>
      </c>
      <c r="AQ607" s="44">
        <v>0</v>
      </c>
      <c r="AR607" s="45">
        <f>AO607*K607</f>
        <v>1297.1600000000001</v>
      </c>
      <c r="AS607" s="45">
        <f t="shared" si="303"/>
        <v>1624.4327272727273</v>
      </c>
      <c r="AT607" s="45">
        <f t="shared" si="306"/>
        <v>97465.963636363638</v>
      </c>
      <c r="AU607" s="62"/>
      <c r="AV607" s="46"/>
      <c r="AW607" s="47"/>
      <c r="AX607" s="48"/>
      <c r="AY607" s="49"/>
      <c r="BA607" s="48"/>
    </row>
    <row r="608" spans="1:53" ht="19.5" customHeight="1" x14ac:dyDescent="0.25">
      <c r="A608" s="33" t="str">
        <f t="shared" si="304"/>
        <v>63339360,05</v>
      </c>
      <c r="B608" s="33" t="str">
        <f t="shared" si="305"/>
        <v>620,05</v>
      </c>
      <c r="C608" s="34" t="str">
        <f>VLOOKUP(D608,[1]apoio_Preços_MGS!$A$6:$B$238,2,FALSE)</f>
        <v>SUPORTE ADMINISTRATIVO</v>
      </c>
      <c r="D608" s="35">
        <v>62</v>
      </c>
      <c r="E608" s="33" t="str">
        <f>VLOOKUP(D608,[1]apoio_Preços_MGS!$A$6:$F$238,6,FALSE)</f>
        <v>SUPORTE ADMINISTRATIVO - DIARISTA DIURNO - 36H</v>
      </c>
      <c r="F608" s="36">
        <f>IFERROR(VLOOKUP(D608,'[1]apoio_cód catmas'!$B$2:$C$863,2,FALSE),0)</f>
        <v>63339</v>
      </c>
      <c r="G608" s="33" t="str">
        <f>IF(H608="N/A",VLOOKUP(F608&amp;40,'[1]apoio_cód catmas'!$A$1:$G$233,4,FALSE),VLOOKUP(F608&amp;H608,'[1]apoio_cód catmas'!$A$1:$G$233,4,FALSE))</f>
        <v>SUPORTE ADMINISTRATIVO - 30H, 36H, 40H OU 44H</v>
      </c>
      <c r="H608" s="36">
        <v>36</v>
      </c>
      <c r="I608" s="37">
        <v>0.05</v>
      </c>
      <c r="J608" s="38" t="s">
        <v>47</v>
      </c>
      <c r="K608" s="39">
        <v>2</v>
      </c>
      <c r="L608" s="39">
        <f t="shared" si="307"/>
        <v>120</v>
      </c>
      <c r="M608" s="40">
        <f>VLOOKUP(D608,[1]apoio_Preços_MGS!$A$6:$AN$238,18,FALSE)</f>
        <v>2497.38953373391</v>
      </c>
      <c r="N608" s="40">
        <f>VLOOKUP(D608,[1]apoio_Preços_MGS!$A$6:$AN$238,19,FALSE)</f>
        <v>0</v>
      </c>
      <c r="O608" s="40">
        <f>VLOOKUP(D608,[1]apoio_Preços_MGS!$A$6:$AN$238,20,FALSE)</f>
        <v>0</v>
      </c>
      <c r="P608" s="40">
        <f>VLOOKUP(D608,[1]apoio_Preços_MGS!$A$6:$AN$238,21,FALSE)</f>
        <v>0</v>
      </c>
      <c r="Q608" s="40">
        <f>VLOOKUP(D608,[1]apoio_Preços_MGS!$A$6:$AN$238,22,FALSE)</f>
        <v>0</v>
      </c>
      <c r="R608" s="40">
        <f>VLOOKUP(D608,[1]apoio_Preços_MGS!$A$6:$AN$238,23,FALSE)</f>
        <v>0</v>
      </c>
      <c r="S608" s="40">
        <f>VLOOKUP(D608,[1]apoio_Preços_MGS!$A$6:$AN$238,24,FALSE)</f>
        <v>0</v>
      </c>
      <c r="T608" s="40">
        <f>VLOOKUP(D608,[1]apoio_Preços_MGS!$A$6:$AN$238,25,FALSE)</f>
        <v>0</v>
      </c>
      <c r="U608" s="40">
        <f t="shared" si="301"/>
        <v>2497.38953373391</v>
      </c>
      <c r="V608" s="41">
        <v>0.81799999999999995</v>
      </c>
      <c r="W608" s="40">
        <f t="shared" si="302"/>
        <v>2042.8646385943382</v>
      </c>
      <c r="X608" s="40">
        <f>VLOOKUP(D608,[1]apoio_Preços_MGS!$A$6:$AN$238,29,FALSE)</f>
        <v>0</v>
      </c>
      <c r="Y608" s="40">
        <f>VLOOKUP(D608,[1]apoio_Preços_MGS!$A$6:$AN$238,30,FALSE)</f>
        <v>6.5772863955289598E-2</v>
      </c>
      <c r="Z608" s="40">
        <f t="shared" si="312"/>
        <v>6.5772863955289598E-2</v>
      </c>
      <c r="AA608" s="40">
        <f>VLOOKUP(D608,[1]apoio_Preços_MGS!$A$6:$AN$238,32,FALSE)</f>
        <v>4.7949879047691066</v>
      </c>
      <c r="AB608" s="40">
        <f>VLOOKUP(D608,[1]apoio_Preços_MGS!$A$6:$AN$238,33,FALSE)</f>
        <v>178.71483179539931</v>
      </c>
      <c r="AC608" s="41">
        <f>VLOOKUP(D608,[1]apoio_Preços_MGS!$A$6:$AN$238,34,FALSE)</f>
        <v>0</v>
      </c>
      <c r="AD608" s="40">
        <f>(U608+W608+Z608+AB608+AA608+VLOOKUP(C608,[1]apoio_Prec_Folha!$A:$S,7,FALSE))*AC608</f>
        <v>0</v>
      </c>
      <c r="AE608" s="42">
        <f>VLOOKUP(D608,[1]apoio_Preços_MGS!$A$6:$AN$238,36,FALSE)</f>
        <v>7.0000000000000007E-2</v>
      </c>
      <c r="AF608" s="40">
        <f>(U608+W608+Z608+AB608+AD608+AA608+VLOOKUP(C608,[1]apoio_Prec_Folha!$A:$S,7,FALSE))*AE608</f>
        <v>369.0844689751433</v>
      </c>
      <c r="AG608" s="40">
        <f t="shared" si="313"/>
        <v>5092.91</v>
      </c>
      <c r="AH608" s="43">
        <f t="shared" si="314"/>
        <v>5939.24</v>
      </c>
      <c r="AI608" s="43">
        <f t="shared" si="315"/>
        <v>11878.48</v>
      </c>
      <c r="AJ608" s="43">
        <f t="shared" si="316"/>
        <v>712708.79999999993</v>
      </c>
      <c r="AK608" s="44">
        <f>VLOOKUP(D608,[1]apoio_Preços_MGS!$A$6:$AN$238,39,FALSE)</f>
        <v>163.63636363636365</v>
      </c>
      <c r="AL608" s="44">
        <f>IF(J608="demais municípios",VLOOKUP(D608,[1]apoio_Preços_MGS!$A$6:$AN$238,39,FALSE),0)</f>
        <v>0</v>
      </c>
      <c r="AM608" s="44">
        <f>TRUNC(ROUND(($I608)/(1-($I608)),5)*VLOOKUP(D608,[1]apoio_Preços_MGS!$A$6:$AN$238,39,FALSE)+VLOOKUP(D608,[1]apoio_Preços_MGS!$A$6:$AN$238,39,FALSE),2)</f>
        <v>172.24</v>
      </c>
      <c r="AN608" s="45">
        <f t="shared" si="308"/>
        <v>344.48</v>
      </c>
      <c r="AO608" s="44">
        <f>VLOOKUP(D608,[1]apoio_Preços_MGS!$A$6:$AN$238,40,FALSE)</f>
        <v>648.58000000000004</v>
      </c>
      <c r="AP608" s="44">
        <f>IF(J608="demais municípios",VLOOKUP(D608,[1]apoio_Preços_MGS!$A$6:$AN$238,40,FALSE),0)</f>
        <v>0</v>
      </c>
      <c r="AQ608" s="44">
        <f>TRUNC(ROUND(($I608)/(1-($I608)),5)*VLOOKUP(D608,[1]apoio_Preços_MGS!$A$6:$AN$238,40,FALSE)+VLOOKUP(D608,[1]apoio_Preços_MGS!$A$6:$AN$238,40,FALSE),2)</f>
        <v>682.71</v>
      </c>
      <c r="AR608" s="45">
        <f t="shared" si="309"/>
        <v>1365.42</v>
      </c>
      <c r="AS608" s="45">
        <f t="shared" si="303"/>
        <v>1709.9</v>
      </c>
      <c r="AT608" s="45">
        <f t="shared" si="306"/>
        <v>102594</v>
      </c>
      <c r="AU608" s="62"/>
      <c r="AV608" s="46"/>
      <c r="AW608" s="47"/>
      <c r="AX608" s="48"/>
      <c r="AY608" s="49"/>
      <c r="BA608" s="48"/>
    </row>
    <row r="609" spans="1:53" ht="19.5" customHeight="1" x14ac:dyDescent="0.25">
      <c r="A609" s="33" t="str">
        <f t="shared" si="304"/>
        <v>63339400,02</v>
      </c>
      <c r="B609" s="33" t="str">
        <f t="shared" si="305"/>
        <v>610,02</v>
      </c>
      <c r="C609" s="34" t="str">
        <f>VLOOKUP(D609,[1]apoio_Preços_MGS!$A$6:$B$238,2,FALSE)</f>
        <v>SUPORTE ADMINISTRATIVO</v>
      </c>
      <c r="D609" s="35">
        <v>61</v>
      </c>
      <c r="E609" s="33" t="str">
        <f>VLOOKUP(D609,[1]apoio_Preços_MGS!$A$6:$F$238,6,FALSE)</f>
        <v>SUPORTE ADMINISTRATIVO - DIARISTA DIURNO - 40H</v>
      </c>
      <c r="F609" s="36">
        <f>IFERROR(VLOOKUP(D609,'[1]apoio_cód catmas'!$B$2:$C$863,2,FALSE),0)</f>
        <v>63339</v>
      </c>
      <c r="G609" s="33" t="str">
        <f>IF(H609="N/A",VLOOKUP(F609&amp;40,'[1]apoio_cód catmas'!$A$1:$G$233,4,FALSE),VLOOKUP(F609&amp;H609,'[1]apoio_cód catmas'!$A$1:$G$233,4,FALSE))</f>
        <v>SUPORTE ADMINISTRATIVO - 30H, 36H, 40H OU 44H</v>
      </c>
      <c r="H609" s="36">
        <v>40</v>
      </c>
      <c r="I609" s="37">
        <v>0.02</v>
      </c>
      <c r="J609" s="38" t="s">
        <v>46</v>
      </c>
      <c r="K609" s="39">
        <f>341-1</f>
        <v>340</v>
      </c>
      <c r="L609" s="39">
        <f t="shared" si="307"/>
        <v>20400</v>
      </c>
      <c r="M609" s="40">
        <f>VLOOKUP(D609,[1]apoio_Preços_MGS!$A$6:$AN$238,18,FALSE)</f>
        <v>2774.8772597043444</v>
      </c>
      <c r="N609" s="40">
        <f>VLOOKUP(D609,[1]apoio_Preços_MGS!$A$6:$AN$238,19,FALSE)</f>
        <v>0</v>
      </c>
      <c r="O609" s="40">
        <f>VLOOKUP(D609,[1]apoio_Preços_MGS!$A$6:$AN$238,20,FALSE)</f>
        <v>0</v>
      </c>
      <c r="P609" s="40">
        <f>VLOOKUP(D609,[1]apoio_Preços_MGS!$A$6:$AN$238,21,FALSE)</f>
        <v>0</v>
      </c>
      <c r="Q609" s="40">
        <f>VLOOKUP(D609,[1]apoio_Preços_MGS!$A$6:$AN$238,22,FALSE)</f>
        <v>0</v>
      </c>
      <c r="R609" s="40">
        <f>VLOOKUP(D609,[1]apoio_Preços_MGS!$A$6:$AN$238,23,FALSE)</f>
        <v>0</v>
      </c>
      <c r="S609" s="40">
        <f>VLOOKUP(D609,[1]apoio_Preços_MGS!$A$6:$AN$238,24,FALSE)</f>
        <v>0</v>
      </c>
      <c r="T609" s="40">
        <f>VLOOKUP(D609,[1]apoio_Preços_MGS!$A$6:$AN$238,25,FALSE)</f>
        <v>0</v>
      </c>
      <c r="U609" s="40">
        <f t="shared" si="301"/>
        <v>2774.8772597043444</v>
      </c>
      <c r="V609" s="41">
        <v>0.81799999999999995</v>
      </c>
      <c r="W609" s="40">
        <f t="shared" si="302"/>
        <v>2269.8495984381534</v>
      </c>
      <c r="X609" s="40">
        <f>VLOOKUP(D609,[1]apoio_Preços_MGS!$A$6:$AN$238,29,FALSE)</f>
        <v>0</v>
      </c>
      <c r="Y609" s="40">
        <f>VLOOKUP(D609,[1]apoio_Preços_MGS!$A$6:$AN$238,30,FALSE)</f>
        <v>6.5772863955289598E-2</v>
      </c>
      <c r="Z609" s="40">
        <f t="shared" si="312"/>
        <v>6.5772863955289598E-2</v>
      </c>
      <c r="AA609" s="40">
        <f>VLOOKUP(D609,[1]apoio_Preços_MGS!$A$6:$AN$238,32,FALSE)</f>
        <v>5.327764338632341</v>
      </c>
      <c r="AB609" s="40">
        <f>VLOOKUP(D609,[1]apoio_Preços_MGS!$A$6:$AN$238,33,FALSE)</f>
        <v>168.10154139051505</v>
      </c>
      <c r="AC609" s="41">
        <f>VLOOKUP(D609,[1]apoio_Preços_MGS!$A$6:$AN$238,34,FALSE)</f>
        <v>0</v>
      </c>
      <c r="AD609" s="40">
        <f>(U609+W609+Z609+AB609+AA609+VLOOKUP(C609,[1]apoio_Prec_Folha!$A:$S,7,FALSE))*AC609</f>
        <v>0</v>
      </c>
      <c r="AE609" s="42">
        <f>VLOOKUP(D609,[1]apoio_Preços_MGS!$A$6:$AN$238,36,FALSE)</f>
        <v>7.0000000000000007E-2</v>
      </c>
      <c r="AF609" s="40">
        <f>(U609+W609+Z609+AB609+AD609+AA609+VLOOKUP(C609,[1]apoio_Prec_Folha!$A:$S,7,FALSE))*AE609</f>
        <v>403.69192100416933</v>
      </c>
      <c r="AG609" s="40">
        <f t="shared" si="313"/>
        <v>5621.91</v>
      </c>
      <c r="AH609" s="43">
        <f t="shared" si="314"/>
        <v>6334.54</v>
      </c>
      <c r="AI609" s="43">
        <f t="shared" si="315"/>
        <v>2153743.6</v>
      </c>
      <c r="AJ609" s="43">
        <f t="shared" si="316"/>
        <v>129224616</v>
      </c>
      <c r="AK609" s="44">
        <f>VLOOKUP(D609,[1]apoio_Preços_MGS!$A$6:$AN$238,39,FALSE)</f>
        <v>181.81818181818184</v>
      </c>
      <c r="AL609" s="44">
        <f>IF(J609="demais municípios",VLOOKUP(D609,[1]apoio_Preços_MGS!$A$6:$AN$238,39,FALSE),0)</f>
        <v>181.81818181818184</v>
      </c>
      <c r="AM609" s="44">
        <v>0</v>
      </c>
      <c r="AN609" s="45">
        <f t="shared" ref="AN609:AN618" si="321">AK609*K609</f>
        <v>61818.181818181823</v>
      </c>
      <c r="AO609" s="44">
        <f>VLOOKUP(D609,[1]apoio_Preços_MGS!$A$6:$AN$238,40,FALSE)</f>
        <v>548.79999999999995</v>
      </c>
      <c r="AP609" s="44">
        <f>IF(J609="demais municípios",VLOOKUP(D609,[1]apoio_Preços_MGS!$A$6:$AN$238,40,FALSE),0)</f>
        <v>548.79999999999995</v>
      </c>
      <c r="AQ609" s="44">
        <v>0</v>
      </c>
      <c r="AR609" s="45">
        <f t="shared" ref="AR609:AR618" si="322">AO609*K609</f>
        <v>186591.99999999997</v>
      </c>
      <c r="AS609" s="45">
        <f t="shared" si="303"/>
        <v>248410.18181818179</v>
      </c>
      <c r="AT609" s="45">
        <f t="shared" si="306"/>
        <v>14904610.909090908</v>
      </c>
      <c r="AU609" s="62"/>
      <c r="AV609" s="46"/>
      <c r="AW609" s="47"/>
      <c r="AX609" s="48"/>
      <c r="AY609" s="49"/>
      <c r="BA609" s="48"/>
    </row>
    <row r="610" spans="1:53" ht="19.5" customHeight="1" x14ac:dyDescent="0.25">
      <c r="A610" s="33" t="str">
        <f t="shared" si="304"/>
        <v>63339400,025</v>
      </c>
      <c r="B610" s="33" t="str">
        <f t="shared" si="305"/>
        <v>610,025</v>
      </c>
      <c r="C610" s="34" t="str">
        <f>VLOOKUP(D610,[1]apoio_Preços_MGS!$A$6:$B$238,2,FALSE)</f>
        <v>SUPORTE ADMINISTRATIVO</v>
      </c>
      <c r="D610" s="35">
        <v>61</v>
      </c>
      <c r="E610" s="33" t="str">
        <f>VLOOKUP(D610,[1]apoio_Preços_MGS!$A$6:$F$238,6,FALSE)</f>
        <v>SUPORTE ADMINISTRATIVO - DIARISTA DIURNO - 40H</v>
      </c>
      <c r="F610" s="36">
        <f>IFERROR(VLOOKUP(D610,'[1]apoio_cód catmas'!$B$2:$C$863,2,FALSE),0)</f>
        <v>63339</v>
      </c>
      <c r="G610" s="33" t="str">
        <f>IF(H610="N/A",VLOOKUP(F610&amp;40,'[1]apoio_cód catmas'!$A$1:$G$233,4,FALSE),VLOOKUP(F610&amp;H610,'[1]apoio_cód catmas'!$A$1:$G$233,4,FALSE))</f>
        <v>SUPORTE ADMINISTRATIVO - 30H, 36H, 40H OU 44H</v>
      </c>
      <c r="H610" s="36">
        <v>40</v>
      </c>
      <c r="I610" s="37">
        <v>2.5000000000000001E-2</v>
      </c>
      <c r="J610" s="38" t="s">
        <v>46</v>
      </c>
      <c r="K610" s="39">
        <v>4</v>
      </c>
      <c r="L610" s="39">
        <f t="shared" si="307"/>
        <v>240</v>
      </c>
      <c r="M610" s="40">
        <f>VLOOKUP(D610,[1]apoio_Preços_MGS!$A$6:$AN$238,18,FALSE)</f>
        <v>2774.8772597043444</v>
      </c>
      <c r="N610" s="40">
        <f>VLOOKUP(D610,[1]apoio_Preços_MGS!$A$6:$AN$238,19,FALSE)</f>
        <v>0</v>
      </c>
      <c r="O610" s="40">
        <f>VLOOKUP(D610,[1]apoio_Preços_MGS!$A$6:$AN$238,20,FALSE)</f>
        <v>0</v>
      </c>
      <c r="P610" s="40">
        <f>VLOOKUP(D610,[1]apoio_Preços_MGS!$A$6:$AN$238,21,FALSE)</f>
        <v>0</v>
      </c>
      <c r="Q610" s="40">
        <f>VLOOKUP(D610,[1]apoio_Preços_MGS!$A$6:$AN$238,22,FALSE)</f>
        <v>0</v>
      </c>
      <c r="R610" s="40">
        <f>VLOOKUP(D610,[1]apoio_Preços_MGS!$A$6:$AN$238,23,FALSE)</f>
        <v>0</v>
      </c>
      <c r="S610" s="40">
        <f>VLOOKUP(D610,[1]apoio_Preços_MGS!$A$6:$AN$238,24,FALSE)</f>
        <v>0</v>
      </c>
      <c r="T610" s="40">
        <f>VLOOKUP(D610,[1]apoio_Preços_MGS!$A$6:$AN$238,25,FALSE)</f>
        <v>0</v>
      </c>
      <c r="U610" s="40">
        <f t="shared" si="301"/>
        <v>2774.8772597043444</v>
      </c>
      <c r="V610" s="41">
        <f>VLOOKUP(D610,[1]apoio_Preços_MGS!$A$6:$AN$238,27,FALSE)</f>
        <v>0.81799999999999995</v>
      </c>
      <c r="W610" s="40">
        <f t="shared" si="302"/>
        <v>2269.8495984381534</v>
      </c>
      <c r="X610" s="40">
        <f>VLOOKUP(D610,[1]apoio_Preços_MGS!$A$6:$AN$238,29,FALSE)</f>
        <v>0</v>
      </c>
      <c r="Y610" s="40">
        <f>VLOOKUP(D610,[1]apoio_Preços_MGS!$A$6:$AN$238,30,FALSE)</f>
        <v>6.5772863955289598E-2</v>
      </c>
      <c r="Z610" s="40">
        <f t="shared" si="312"/>
        <v>6.5772863955289598E-2</v>
      </c>
      <c r="AA610" s="40">
        <f>VLOOKUP(D610,[1]apoio_Preços_MGS!$A$6:$AN$238,32,FALSE)</f>
        <v>5.327764338632341</v>
      </c>
      <c r="AB610" s="40">
        <f>VLOOKUP(D610,[1]apoio_Preços_MGS!$A$6:$AN$238,33,FALSE)</f>
        <v>168.10154139051505</v>
      </c>
      <c r="AC610" s="41">
        <f>VLOOKUP(D610,[1]apoio_Preços_MGS!$A$6:$AN$238,34,FALSE)</f>
        <v>0</v>
      </c>
      <c r="AD610" s="40">
        <f>(U610+W610+Z610+AB610+AA610+VLOOKUP(C610,[1]apoio_Prec_Folha!$A:$S,7,FALSE))*AC610</f>
        <v>0</v>
      </c>
      <c r="AE610" s="42">
        <f>VLOOKUP(D610,[1]apoio_Preços_MGS!$A$6:$AN$238,36,FALSE)</f>
        <v>7.0000000000000007E-2</v>
      </c>
      <c r="AF610" s="40">
        <f>(U610+W610+Z610+AB610+AD610+AA610+VLOOKUP(C610,[1]apoio_Prec_Folha!$A:$S,7,FALSE))*AE610</f>
        <v>403.69192100416933</v>
      </c>
      <c r="AG610" s="40">
        <f t="shared" si="313"/>
        <v>5621.91</v>
      </c>
      <c r="AH610" s="43">
        <f t="shared" si="314"/>
        <v>6370.41</v>
      </c>
      <c r="AI610" s="43">
        <f t="shared" si="315"/>
        <v>25481.64</v>
      </c>
      <c r="AJ610" s="43">
        <f t="shared" si="316"/>
        <v>1528898.4</v>
      </c>
      <c r="AK610" s="44">
        <f>VLOOKUP(D610,[1]apoio_Preços_MGS!$A$6:$AN$238,39,FALSE)</f>
        <v>181.81818181818184</v>
      </c>
      <c r="AL610" s="44">
        <f>IF(J610="demais municípios",VLOOKUP(D610,[1]apoio_Preços_MGS!$A$6:$AN$238,39,FALSE),0)</f>
        <v>181.81818181818184</v>
      </c>
      <c r="AM610" s="44">
        <v>0</v>
      </c>
      <c r="AN610" s="45">
        <f t="shared" si="321"/>
        <v>727.27272727272737</v>
      </c>
      <c r="AO610" s="44">
        <f>VLOOKUP(D610,[1]apoio_Preços_MGS!$A$6:$AN$238,40,FALSE)</f>
        <v>548.79999999999995</v>
      </c>
      <c r="AP610" s="44">
        <f>IF(J610="demais municípios",VLOOKUP(D610,[1]apoio_Preços_MGS!$A$6:$AN$238,40,FALSE),0)</f>
        <v>548.79999999999995</v>
      </c>
      <c r="AQ610" s="44">
        <v>0</v>
      </c>
      <c r="AR610" s="45">
        <f t="shared" si="322"/>
        <v>2195.1999999999998</v>
      </c>
      <c r="AS610" s="45">
        <f t="shared" si="303"/>
        <v>2922.4727272727273</v>
      </c>
      <c r="AT610" s="45">
        <f t="shared" si="306"/>
        <v>175348.36363636365</v>
      </c>
      <c r="AU610" s="62"/>
      <c r="AV610" s="46"/>
      <c r="AW610" s="47"/>
      <c r="AX610" s="48"/>
      <c r="AY610" s="49"/>
      <c r="BA610" s="48"/>
    </row>
    <row r="611" spans="1:53" ht="19.5" customHeight="1" x14ac:dyDescent="0.25">
      <c r="A611" s="33" t="str">
        <f t="shared" si="304"/>
        <v>63339400,027</v>
      </c>
      <c r="B611" s="33" t="str">
        <f t="shared" si="305"/>
        <v>610,027</v>
      </c>
      <c r="C611" s="34" t="str">
        <f>VLOOKUP(D611,[1]apoio_Preços_MGS!$A$6:$B$238,2,FALSE)</f>
        <v>SUPORTE ADMINISTRATIVO</v>
      </c>
      <c r="D611" s="35">
        <v>61</v>
      </c>
      <c r="E611" s="33" t="str">
        <f>VLOOKUP(D611,[1]apoio_Preços_MGS!$A$6:$F$238,6,FALSE)</f>
        <v>SUPORTE ADMINISTRATIVO - DIARISTA DIURNO - 40H</v>
      </c>
      <c r="F611" s="36">
        <f>IFERROR(VLOOKUP(D611,'[1]apoio_cód catmas'!$B$2:$C$863,2,FALSE),0)</f>
        <v>63339</v>
      </c>
      <c r="G611" s="33" t="str">
        <f>IF(H611="N/A",VLOOKUP(F611&amp;40,'[1]apoio_cód catmas'!$A$1:$G$233,4,FALSE),VLOOKUP(F611&amp;H611,'[1]apoio_cód catmas'!$A$1:$G$233,4,FALSE))</f>
        <v>SUPORTE ADMINISTRATIVO - 30H, 36H, 40H OU 44H</v>
      </c>
      <c r="H611" s="36">
        <v>40</v>
      </c>
      <c r="I611" s="37">
        <v>2.7000000000000003E-2</v>
      </c>
      <c r="J611" s="38" t="s">
        <v>46</v>
      </c>
      <c r="K611" s="39">
        <v>6</v>
      </c>
      <c r="L611" s="39">
        <f t="shared" si="307"/>
        <v>360</v>
      </c>
      <c r="M611" s="40">
        <f>VLOOKUP(D611,[1]apoio_Preços_MGS!$A$6:$AN$238,18,FALSE)</f>
        <v>2774.8772597043444</v>
      </c>
      <c r="N611" s="40">
        <f>VLOOKUP(D611,[1]apoio_Preços_MGS!$A$6:$AN$238,19,FALSE)</f>
        <v>0</v>
      </c>
      <c r="O611" s="40">
        <f>VLOOKUP(D611,[1]apoio_Preços_MGS!$A$6:$AN$238,20,FALSE)</f>
        <v>0</v>
      </c>
      <c r="P611" s="40">
        <f>VLOOKUP(D611,[1]apoio_Preços_MGS!$A$6:$AN$238,21,FALSE)</f>
        <v>0</v>
      </c>
      <c r="Q611" s="40">
        <f>VLOOKUP(D611,[1]apoio_Preços_MGS!$A$6:$AN$238,22,FALSE)</f>
        <v>0</v>
      </c>
      <c r="R611" s="40">
        <f>VLOOKUP(D611,[1]apoio_Preços_MGS!$A$6:$AN$238,23,FALSE)</f>
        <v>0</v>
      </c>
      <c r="S611" s="40">
        <f>VLOOKUP(D611,[1]apoio_Preços_MGS!$A$6:$AN$238,24,FALSE)</f>
        <v>0</v>
      </c>
      <c r="T611" s="40">
        <f>VLOOKUP(D611,[1]apoio_Preços_MGS!$A$6:$AN$238,25,FALSE)</f>
        <v>0</v>
      </c>
      <c r="U611" s="40">
        <f t="shared" si="301"/>
        <v>2774.8772597043444</v>
      </c>
      <c r="V611" s="41">
        <f>VLOOKUP(D611,[1]apoio_Preços_MGS!$A$6:$AN$238,27,FALSE)</f>
        <v>0.81799999999999995</v>
      </c>
      <c r="W611" s="40">
        <f t="shared" si="302"/>
        <v>2269.8495984381534</v>
      </c>
      <c r="X611" s="40">
        <f>VLOOKUP(D611,[1]apoio_Preços_MGS!$A$6:$AN$238,29,FALSE)</f>
        <v>0</v>
      </c>
      <c r="Y611" s="40">
        <f>VLOOKUP(D611,[1]apoio_Preços_MGS!$A$6:$AN$238,30,FALSE)</f>
        <v>6.5772863955289598E-2</v>
      </c>
      <c r="Z611" s="40">
        <f t="shared" si="312"/>
        <v>6.5772863955289598E-2</v>
      </c>
      <c r="AA611" s="40">
        <f>VLOOKUP(D611,[1]apoio_Preços_MGS!$A$6:$AN$238,32,FALSE)</f>
        <v>5.327764338632341</v>
      </c>
      <c r="AB611" s="40">
        <f>VLOOKUP(D611,[1]apoio_Preços_MGS!$A$6:$AN$238,33,FALSE)</f>
        <v>168.10154139051505</v>
      </c>
      <c r="AC611" s="41">
        <f>VLOOKUP(D611,[1]apoio_Preços_MGS!$A$6:$AN$238,34,FALSE)</f>
        <v>0</v>
      </c>
      <c r="AD611" s="40">
        <f>(U611+W611+Z611+AB611+AA611+VLOOKUP(C611,[1]apoio_Prec_Folha!$A:$S,7,FALSE))*AC611</f>
        <v>0</v>
      </c>
      <c r="AE611" s="42">
        <f>VLOOKUP(D611,[1]apoio_Preços_MGS!$A$6:$AN$238,36,FALSE)</f>
        <v>7.0000000000000007E-2</v>
      </c>
      <c r="AF611" s="40">
        <f>(U611+W611+Z611+AB611+AD611+AA611+VLOOKUP(C611,[1]apoio_Prec_Folha!$A:$S,7,FALSE))*AE611</f>
        <v>403.69192100416933</v>
      </c>
      <c r="AG611" s="40">
        <f t="shared" si="313"/>
        <v>5621.91</v>
      </c>
      <c r="AH611" s="43">
        <f t="shared" si="314"/>
        <v>6384.91</v>
      </c>
      <c r="AI611" s="43">
        <f t="shared" si="315"/>
        <v>38309.46</v>
      </c>
      <c r="AJ611" s="43">
        <f t="shared" si="316"/>
        <v>2298567.6</v>
      </c>
      <c r="AK611" s="44">
        <f>VLOOKUP(D611,[1]apoio_Preços_MGS!$A$6:$AN$238,39,FALSE)</f>
        <v>181.81818181818184</v>
      </c>
      <c r="AL611" s="44">
        <f>IF(J611="demais municípios",VLOOKUP(D611,[1]apoio_Preços_MGS!$A$6:$AN$238,39,FALSE),0)</f>
        <v>181.81818181818184</v>
      </c>
      <c r="AM611" s="44">
        <v>0</v>
      </c>
      <c r="AN611" s="45">
        <f t="shared" si="321"/>
        <v>1090.909090909091</v>
      </c>
      <c r="AO611" s="44">
        <f>VLOOKUP(D611,[1]apoio_Preços_MGS!$A$6:$AN$238,40,FALSE)</f>
        <v>548.79999999999995</v>
      </c>
      <c r="AP611" s="44">
        <f>IF(J611="demais municípios",VLOOKUP(D611,[1]apoio_Preços_MGS!$A$6:$AN$238,40,FALSE),0)</f>
        <v>548.79999999999995</v>
      </c>
      <c r="AQ611" s="44">
        <v>0</v>
      </c>
      <c r="AR611" s="45">
        <f t="shared" si="322"/>
        <v>3292.7999999999997</v>
      </c>
      <c r="AS611" s="45">
        <f t="shared" si="303"/>
        <v>4383.7090909090912</v>
      </c>
      <c r="AT611" s="45">
        <f t="shared" si="306"/>
        <v>263022.54545454547</v>
      </c>
      <c r="AU611" s="62"/>
      <c r="AV611" s="46"/>
      <c r="AW611" s="47"/>
      <c r="AX611" s="48"/>
      <c r="AY611" s="49"/>
      <c r="BA611" s="48"/>
    </row>
    <row r="612" spans="1:53" ht="19.5" customHeight="1" x14ac:dyDescent="0.25">
      <c r="A612" s="33" t="str">
        <f t="shared" si="304"/>
        <v>63339400,03</v>
      </c>
      <c r="B612" s="33" t="str">
        <f t="shared" si="305"/>
        <v>610,03</v>
      </c>
      <c r="C612" s="34" t="str">
        <f>VLOOKUP(D612,[1]apoio_Preços_MGS!$A$6:$B$238,2,FALSE)</f>
        <v>SUPORTE ADMINISTRATIVO</v>
      </c>
      <c r="D612" s="35">
        <v>61</v>
      </c>
      <c r="E612" s="33" t="str">
        <f>VLOOKUP(D612,[1]apoio_Preços_MGS!$A$6:$F$238,6,FALSE)</f>
        <v>SUPORTE ADMINISTRATIVO - DIARISTA DIURNO - 40H</v>
      </c>
      <c r="F612" s="36">
        <f>IFERROR(VLOOKUP(D612,'[1]apoio_cód catmas'!$B$2:$C$863,2,FALSE),0)</f>
        <v>63339</v>
      </c>
      <c r="G612" s="33" t="str">
        <f>IF(H612="N/A",VLOOKUP(F612&amp;40,'[1]apoio_cód catmas'!$A$1:$G$233,4,FALSE),VLOOKUP(F612&amp;H612,'[1]apoio_cód catmas'!$A$1:$G$233,4,FALSE))</f>
        <v>SUPORTE ADMINISTRATIVO - 30H, 36H, 40H OU 44H</v>
      </c>
      <c r="H612" s="36">
        <v>40</v>
      </c>
      <c r="I612" s="37">
        <v>0.03</v>
      </c>
      <c r="J612" s="38" t="s">
        <v>46</v>
      </c>
      <c r="K612" s="39">
        <f>632-27+1</f>
        <v>606</v>
      </c>
      <c r="L612" s="39">
        <f t="shared" si="307"/>
        <v>36360</v>
      </c>
      <c r="M612" s="40">
        <f>VLOOKUP(D612,[1]apoio_Preços_MGS!$A$6:$AN$238,18,FALSE)</f>
        <v>2774.8772597043444</v>
      </c>
      <c r="N612" s="40">
        <f>VLOOKUP(D612,[1]apoio_Preços_MGS!$A$6:$AN$238,19,FALSE)</f>
        <v>0</v>
      </c>
      <c r="O612" s="40">
        <f>VLOOKUP(D612,[1]apoio_Preços_MGS!$A$6:$AN$238,20,FALSE)</f>
        <v>0</v>
      </c>
      <c r="P612" s="40">
        <f>VLOOKUP(D612,[1]apoio_Preços_MGS!$A$6:$AN$238,21,FALSE)</f>
        <v>0</v>
      </c>
      <c r="Q612" s="40">
        <f>VLOOKUP(D612,[1]apoio_Preços_MGS!$A$6:$AN$238,22,FALSE)</f>
        <v>0</v>
      </c>
      <c r="R612" s="40">
        <f>VLOOKUP(D612,[1]apoio_Preços_MGS!$A$6:$AN$238,23,FALSE)</f>
        <v>0</v>
      </c>
      <c r="S612" s="40">
        <f>VLOOKUP(D612,[1]apoio_Preços_MGS!$A$6:$AN$238,24,FALSE)</f>
        <v>0</v>
      </c>
      <c r="T612" s="40">
        <f>VLOOKUP(D612,[1]apoio_Preços_MGS!$A$6:$AN$238,25,FALSE)</f>
        <v>0</v>
      </c>
      <c r="U612" s="40">
        <f t="shared" si="301"/>
        <v>2774.8772597043444</v>
      </c>
      <c r="V612" s="41">
        <f>VLOOKUP(D612,[1]apoio_Preços_MGS!$A$6:$AN$238,27,FALSE)</f>
        <v>0.81799999999999995</v>
      </c>
      <c r="W612" s="40">
        <f t="shared" si="302"/>
        <v>2269.8495984381534</v>
      </c>
      <c r="X612" s="40">
        <f>VLOOKUP(D612,[1]apoio_Preços_MGS!$A$6:$AN$238,29,FALSE)</f>
        <v>0</v>
      </c>
      <c r="Y612" s="40">
        <f>VLOOKUP(D612,[1]apoio_Preços_MGS!$A$6:$AN$238,30,FALSE)</f>
        <v>6.5772863955289598E-2</v>
      </c>
      <c r="Z612" s="40">
        <f t="shared" si="312"/>
        <v>6.5772863955289598E-2</v>
      </c>
      <c r="AA612" s="40">
        <f>VLOOKUP(D612,[1]apoio_Preços_MGS!$A$6:$AN$238,32,FALSE)</f>
        <v>5.327764338632341</v>
      </c>
      <c r="AB612" s="40">
        <f>VLOOKUP(D612,[1]apoio_Preços_MGS!$A$6:$AN$238,33,FALSE)</f>
        <v>168.10154139051505</v>
      </c>
      <c r="AC612" s="41">
        <f>VLOOKUP(D612,[1]apoio_Preços_MGS!$A$6:$AN$238,34,FALSE)</f>
        <v>0</v>
      </c>
      <c r="AD612" s="40">
        <f>(U612+W612+Z612+AB612+AA612+VLOOKUP(C612,[1]apoio_Prec_Folha!$A:$S,7,FALSE))*AC612</f>
        <v>0</v>
      </c>
      <c r="AE612" s="42">
        <f>VLOOKUP(D612,[1]apoio_Preços_MGS!$A$6:$AN$238,36,FALSE)</f>
        <v>7.0000000000000007E-2</v>
      </c>
      <c r="AF612" s="40">
        <f>(U612+W612+Z612+AB612+AD612+AA612+VLOOKUP(C612,[1]apoio_Prec_Folha!$A:$S,7,FALSE))*AE612</f>
        <v>403.69192100416933</v>
      </c>
      <c r="AG612" s="40">
        <f t="shared" si="313"/>
        <v>5621.91</v>
      </c>
      <c r="AH612" s="43">
        <f t="shared" si="314"/>
        <v>6406.72</v>
      </c>
      <c r="AI612" s="43">
        <f t="shared" si="315"/>
        <v>3882472.3200000003</v>
      </c>
      <c r="AJ612" s="43">
        <f t="shared" si="316"/>
        <v>232948339.20000002</v>
      </c>
      <c r="AK612" s="44">
        <f>VLOOKUP(D612,[1]apoio_Preços_MGS!$A$6:$AN$238,39,FALSE)</f>
        <v>181.81818181818184</v>
      </c>
      <c r="AL612" s="44">
        <f>IF(J612="demais municípios",VLOOKUP(D612,[1]apoio_Preços_MGS!$A$6:$AN$238,39,FALSE),0)</f>
        <v>181.81818181818184</v>
      </c>
      <c r="AM612" s="44">
        <v>0</v>
      </c>
      <c r="AN612" s="45">
        <f t="shared" si="321"/>
        <v>110181.81818181819</v>
      </c>
      <c r="AO612" s="44">
        <f>VLOOKUP(D612,[1]apoio_Preços_MGS!$A$6:$AN$238,40,FALSE)</f>
        <v>548.79999999999995</v>
      </c>
      <c r="AP612" s="44">
        <f>IF(J612="demais municípios",VLOOKUP(D612,[1]apoio_Preços_MGS!$A$6:$AN$238,40,FALSE),0)</f>
        <v>548.79999999999995</v>
      </c>
      <c r="AQ612" s="44">
        <v>0</v>
      </c>
      <c r="AR612" s="45">
        <f t="shared" si="322"/>
        <v>332572.79999999999</v>
      </c>
      <c r="AS612" s="45">
        <f t="shared" si="303"/>
        <v>442754.61818181816</v>
      </c>
      <c r="AT612" s="45">
        <f t="shared" si="306"/>
        <v>26565277.09090909</v>
      </c>
      <c r="AU612" s="62"/>
      <c r="AV612" s="46"/>
      <c r="AW612" s="47"/>
      <c r="AX612" s="48"/>
      <c r="AY612" s="49"/>
      <c r="BA612" s="48"/>
    </row>
    <row r="613" spans="1:53" ht="19.5" customHeight="1" x14ac:dyDescent="0.25">
      <c r="A613" s="33" t="str">
        <f t="shared" si="304"/>
        <v>63339400,03</v>
      </c>
      <c r="B613" s="33" t="str">
        <f t="shared" si="305"/>
        <v>610,03</v>
      </c>
      <c r="C613" s="34" t="str">
        <f>VLOOKUP(D613,[1]apoio_Preços_MGS!$A$6:$B$238,2,FALSE)</f>
        <v>SUPORTE ADMINISTRATIVO</v>
      </c>
      <c r="D613" s="35">
        <v>61</v>
      </c>
      <c r="E613" s="33" t="str">
        <f>VLOOKUP(D613,[1]apoio_Preços_MGS!$A$6:$F$238,6,FALSE)</f>
        <v>SUPORTE ADMINISTRATIVO - DIARISTA DIURNO - 40H</v>
      </c>
      <c r="F613" s="36">
        <f>IFERROR(VLOOKUP(D613,'[1]apoio_cód catmas'!$B$2:$C$863,2,FALSE),0)</f>
        <v>63339</v>
      </c>
      <c r="G613" s="33" t="str">
        <f>IF(H613="N/A",VLOOKUP(F613&amp;40,'[1]apoio_cód catmas'!$A$1:$G$233,4,FALSE),VLOOKUP(F613&amp;H613,'[1]apoio_cód catmas'!$A$1:$G$233,4,FALSE))</f>
        <v>SUPORTE ADMINISTRATIVO - 30H, 36H, 40H OU 44H</v>
      </c>
      <c r="H613" s="36">
        <v>40</v>
      </c>
      <c r="I613" s="37">
        <v>0.03</v>
      </c>
      <c r="J613" s="38" t="s">
        <v>46</v>
      </c>
      <c r="K613" s="39">
        <v>1</v>
      </c>
      <c r="L613" s="39">
        <v>56</v>
      </c>
      <c r="M613" s="40">
        <f>VLOOKUP(D613,[1]apoio_Preços_MGS!$A$6:$AN$238,18,FALSE)</f>
        <v>2774.8772597043444</v>
      </c>
      <c r="N613" s="40">
        <f>VLOOKUP(D613,[1]apoio_Preços_MGS!$A$6:$AN$238,19,FALSE)</f>
        <v>0</v>
      </c>
      <c r="O613" s="40">
        <f>VLOOKUP(D613,[1]apoio_Preços_MGS!$A$6:$AN$238,20,FALSE)</f>
        <v>0</v>
      </c>
      <c r="P613" s="40">
        <f>VLOOKUP(D613,[1]apoio_Preços_MGS!$A$6:$AN$238,21,FALSE)</f>
        <v>0</v>
      </c>
      <c r="Q613" s="40">
        <f>VLOOKUP(D613,[1]apoio_Preços_MGS!$A$6:$AN$238,22,FALSE)</f>
        <v>0</v>
      </c>
      <c r="R613" s="40">
        <f>VLOOKUP(D613,[1]apoio_Preços_MGS!$A$6:$AN$238,23,FALSE)</f>
        <v>0</v>
      </c>
      <c r="S613" s="40">
        <f>VLOOKUP(D613,[1]apoio_Preços_MGS!$A$6:$AN$238,24,FALSE)</f>
        <v>0</v>
      </c>
      <c r="T613" s="40">
        <f>VLOOKUP(D613,[1]apoio_Preços_MGS!$A$6:$AN$238,25,FALSE)</f>
        <v>0</v>
      </c>
      <c r="U613" s="40">
        <f t="shared" si="301"/>
        <v>2774.8772597043444</v>
      </c>
      <c r="V613" s="41">
        <f>VLOOKUP(D613,[1]apoio_Preços_MGS!$A$6:$AN$238,27,FALSE)</f>
        <v>0.81799999999999995</v>
      </c>
      <c r="W613" s="40">
        <f t="shared" si="302"/>
        <v>2269.8495984381534</v>
      </c>
      <c r="X613" s="40">
        <f>VLOOKUP(D613,[1]apoio_Preços_MGS!$A$6:$AN$238,29,FALSE)</f>
        <v>0</v>
      </c>
      <c r="Y613" s="40">
        <f>VLOOKUP(D613,[1]apoio_Preços_MGS!$A$6:$AN$238,30,FALSE)</f>
        <v>6.5772863955289598E-2</v>
      </c>
      <c r="Z613" s="40">
        <f t="shared" si="312"/>
        <v>6.5772863955289598E-2</v>
      </c>
      <c r="AA613" s="40">
        <f>VLOOKUP(D613,[1]apoio_Preços_MGS!$A$6:$AN$238,32,FALSE)</f>
        <v>5.327764338632341</v>
      </c>
      <c r="AB613" s="40">
        <f>VLOOKUP(D613,[1]apoio_Preços_MGS!$A$6:$AN$238,33,FALSE)</f>
        <v>168.10154139051505</v>
      </c>
      <c r="AC613" s="41">
        <f>VLOOKUP(D613,[1]apoio_Preços_MGS!$A$6:$AN$238,34,FALSE)</f>
        <v>0</v>
      </c>
      <c r="AD613" s="40">
        <f>(U613+W613+Z613+AB613+AA613+VLOOKUP(C613,[1]apoio_Prec_Folha!$A:$S,7,FALSE))*AC613</f>
        <v>0</v>
      </c>
      <c r="AE613" s="42">
        <f>VLOOKUP(D613,[1]apoio_Preços_MGS!$A$6:$AN$238,36,FALSE)</f>
        <v>7.0000000000000007E-2</v>
      </c>
      <c r="AF613" s="40">
        <f>(U613+W613+Z613+AB613+AD613+AA613+VLOOKUP(C613,[1]apoio_Prec_Folha!$A:$S,7,FALSE))*AE613</f>
        <v>403.69192100416933</v>
      </c>
      <c r="AG613" s="40">
        <f t="shared" si="313"/>
        <v>5621.91</v>
      </c>
      <c r="AH613" s="43">
        <f t="shared" si="314"/>
        <v>6406.72</v>
      </c>
      <c r="AI613" s="43">
        <f t="shared" si="315"/>
        <v>6406.72</v>
      </c>
      <c r="AJ613" s="43">
        <f t="shared" si="316"/>
        <v>358776.32000000001</v>
      </c>
      <c r="AK613" s="44">
        <f>VLOOKUP(D613,[1]apoio_Preços_MGS!$A$6:$AN$238,39,FALSE)</f>
        <v>181.81818181818184</v>
      </c>
      <c r="AL613" s="44">
        <f>IF(J613="demais municípios",VLOOKUP(D613,[1]apoio_Preços_MGS!$A$6:$AN$238,39,FALSE),0)</f>
        <v>181.81818181818184</v>
      </c>
      <c r="AM613" s="44">
        <v>0</v>
      </c>
      <c r="AN613" s="45">
        <f t="shared" si="321"/>
        <v>181.81818181818184</v>
      </c>
      <c r="AO613" s="44">
        <f>VLOOKUP(D613,[1]apoio_Preços_MGS!$A$6:$AN$238,40,FALSE)</f>
        <v>548.79999999999995</v>
      </c>
      <c r="AP613" s="44">
        <f>IF(J613="demais municípios",VLOOKUP(D613,[1]apoio_Preços_MGS!$A$6:$AN$238,40,FALSE),0)</f>
        <v>548.79999999999995</v>
      </c>
      <c r="AQ613" s="44">
        <v>0</v>
      </c>
      <c r="AR613" s="45">
        <f t="shared" si="322"/>
        <v>548.79999999999995</v>
      </c>
      <c r="AS613" s="45">
        <f t="shared" si="303"/>
        <v>730.61818181818182</v>
      </c>
      <c r="AT613" s="45">
        <f t="shared" si="306"/>
        <v>43837.090909090912</v>
      </c>
      <c r="AU613" s="62"/>
      <c r="AV613" s="46"/>
      <c r="AW613" s="47"/>
      <c r="AX613" s="48"/>
      <c r="AY613" s="49"/>
      <c r="BA613" s="48"/>
    </row>
    <row r="614" spans="1:53" ht="19.5" customHeight="1" x14ac:dyDescent="0.25">
      <c r="A614" s="33" t="str">
        <f t="shared" si="304"/>
        <v>63339400,035</v>
      </c>
      <c r="B614" s="33" t="str">
        <f t="shared" si="305"/>
        <v>610,035</v>
      </c>
      <c r="C614" s="34" t="str">
        <f>VLOOKUP(D614,[1]apoio_Preços_MGS!$A$6:$B$238,2,FALSE)</f>
        <v>SUPORTE ADMINISTRATIVO</v>
      </c>
      <c r="D614" s="35">
        <v>61</v>
      </c>
      <c r="E614" s="33" t="str">
        <f>VLOOKUP(D614,[1]apoio_Preços_MGS!$A$6:$F$238,6,FALSE)</f>
        <v>SUPORTE ADMINISTRATIVO - DIARISTA DIURNO - 40H</v>
      </c>
      <c r="F614" s="36">
        <f>IFERROR(VLOOKUP(D614,'[1]apoio_cód catmas'!$B$2:$C$863,2,FALSE),0)</f>
        <v>63339</v>
      </c>
      <c r="G614" s="33" t="str">
        <f>IF(H614="N/A",VLOOKUP(F614&amp;40,'[1]apoio_cód catmas'!$A$1:$G$233,4,FALSE),VLOOKUP(F614&amp;H614,'[1]apoio_cód catmas'!$A$1:$G$233,4,FALSE))</f>
        <v>SUPORTE ADMINISTRATIVO - 30H, 36H, 40H OU 44H</v>
      </c>
      <c r="H614" s="36">
        <v>40</v>
      </c>
      <c r="I614" s="37">
        <v>3.5000000000000003E-2</v>
      </c>
      <c r="J614" s="38" t="s">
        <v>46</v>
      </c>
      <c r="K614" s="39">
        <v>61</v>
      </c>
      <c r="L614" s="39">
        <f t="shared" si="307"/>
        <v>3660</v>
      </c>
      <c r="M614" s="40">
        <f>VLOOKUP(D614,[1]apoio_Preços_MGS!$A$6:$AN$238,18,FALSE)</f>
        <v>2774.8772597043444</v>
      </c>
      <c r="N614" s="40">
        <f>VLOOKUP(D614,[1]apoio_Preços_MGS!$A$6:$AN$238,19,FALSE)</f>
        <v>0</v>
      </c>
      <c r="O614" s="40">
        <f>VLOOKUP(D614,[1]apoio_Preços_MGS!$A$6:$AN$238,20,FALSE)</f>
        <v>0</v>
      </c>
      <c r="P614" s="40">
        <f>VLOOKUP(D614,[1]apoio_Preços_MGS!$A$6:$AN$238,21,FALSE)</f>
        <v>0</v>
      </c>
      <c r="Q614" s="40">
        <f>VLOOKUP(D614,[1]apoio_Preços_MGS!$A$6:$AN$238,22,FALSE)</f>
        <v>0</v>
      </c>
      <c r="R614" s="40">
        <f>VLOOKUP(D614,[1]apoio_Preços_MGS!$A$6:$AN$238,23,FALSE)</f>
        <v>0</v>
      </c>
      <c r="S614" s="40">
        <f>VLOOKUP(D614,[1]apoio_Preços_MGS!$A$6:$AN$238,24,FALSE)</f>
        <v>0</v>
      </c>
      <c r="T614" s="40">
        <f>VLOOKUP(D614,[1]apoio_Preços_MGS!$A$6:$AN$238,25,FALSE)</f>
        <v>0</v>
      </c>
      <c r="U614" s="40">
        <f t="shared" si="301"/>
        <v>2774.8772597043444</v>
      </c>
      <c r="V614" s="41">
        <f>VLOOKUP(D614,[1]apoio_Preços_MGS!$A$6:$AN$238,27,FALSE)</f>
        <v>0.81799999999999995</v>
      </c>
      <c r="W614" s="40">
        <f t="shared" si="302"/>
        <v>2269.8495984381534</v>
      </c>
      <c r="X614" s="40">
        <f>VLOOKUP(D614,[1]apoio_Preços_MGS!$A$6:$AN$238,29,FALSE)</f>
        <v>0</v>
      </c>
      <c r="Y614" s="40">
        <f>VLOOKUP(D614,[1]apoio_Preços_MGS!$A$6:$AN$238,30,FALSE)</f>
        <v>6.5772863955289598E-2</v>
      </c>
      <c r="Z614" s="40">
        <f t="shared" si="312"/>
        <v>6.5772863955289598E-2</v>
      </c>
      <c r="AA614" s="40">
        <f>VLOOKUP(D614,[1]apoio_Preços_MGS!$A$6:$AN$238,32,FALSE)</f>
        <v>5.327764338632341</v>
      </c>
      <c r="AB614" s="40">
        <f>VLOOKUP(D614,[1]apoio_Preços_MGS!$A$6:$AN$238,33,FALSE)</f>
        <v>168.10154139051505</v>
      </c>
      <c r="AC614" s="41">
        <f>VLOOKUP(D614,[1]apoio_Preços_MGS!$A$6:$AN$238,34,FALSE)</f>
        <v>0</v>
      </c>
      <c r="AD614" s="40">
        <f>(U614+W614+Z614+AB614+AA614+VLOOKUP(C614,[1]apoio_Prec_Folha!$A:$S,7,FALSE))*AC614</f>
        <v>0</v>
      </c>
      <c r="AE614" s="42">
        <f>VLOOKUP(D614,[1]apoio_Preços_MGS!$A$6:$AN$238,36,FALSE)</f>
        <v>7.0000000000000007E-2</v>
      </c>
      <c r="AF614" s="40">
        <f>(U614+W614+Z614+AB614+AD614+AA614+VLOOKUP(C614,[1]apoio_Prec_Folha!$A:$S,7,FALSE))*AE614</f>
        <v>403.69192100416933</v>
      </c>
      <c r="AG614" s="40">
        <f t="shared" si="313"/>
        <v>5621.91</v>
      </c>
      <c r="AH614" s="43">
        <f t="shared" si="314"/>
        <v>6443.43</v>
      </c>
      <c r="AI614" s="43">
        <f t="shared" si="315"/>
        <v>393049.23000000004</v>
      </c>
      <c r="AJ614" s="43">
        <f t="shared" si="316"/>
        <v>23582953.800000001</v>
      </c>
      <c r="AK614" s="44">
        <f>VLOOKUP(D614,[1]apoio_Preços_MGS!$A$6:$AN$238,39,FALSE)</f>
        <v>181.81818181818184</v>
      </c>
      <c r="AL614" s="44">
        <f>IF(J614="demais municípios",VLOOKUP(D614,[1]apoio_Preços_MGS!$A$6:$AN$238,39,FALSE),0)</f>
        <v>181.81818181818184</v>
      </c>
      <c r="AM614" s="44">
        <v>0</v>
      </c>
      <c r="AN614" s="45">
        <f t="shared" si="321"/>
        <v>11090.909090909092</v>
      </c>
      <c r="AO614" s="44">
        <f>VLOOKUP(D614,[1]apoio_Preços_MGS!$A$6:$AN$238,40,FALSE)</f>
        <v>548.79999999999995</v>
      </c>
      <c r="AP614" s="44">
        <f>IF(J614="demais municípios",VLOOKUP(D614,[1]apoio_Preços_MGS!$A$6:$AN$238,40,FALSE),0)</f>
        <v>548.79999999999995</v>
      </c>
      <c r="AQ614" s="44">
        <v>0</v>
      </c>
      <c r="AR614" s="45">
        <f t="shared" si="322"/>
        <v>33476.799999999996</v>
      </c>
      <c r="AS614" s="45">
        <f t="shared" si="303"/>
        <v>44567.709090909091</v>
      </c>
      <c r="AT614" s="45">
        <f t="shared" si="306"/>
        <v>2674062.5454545454</v>
      </c>
      <c r="AU614" s="62"/>
      <c r="AV614" s="46"/>
      <c r="AW614" s="47"/>
      <c r="AX614" s="48"/>
      <c r="AY614" s="49"/>
      <c r="BA614" s="48"/>
    </row>
    <row r="615" spans="1:53" ht="19.5" customHeight="1" x14ac:dyDescent="0.25">
      <c r="A615" s="33" t="str">
        <f t="shared" si="304"/>
        <v>63339400,038</v>
      </c>
      <c r="B615" s="33" t="str">
        <f t="shared" si="305"/>
        <v>610,038</v>
      </c>
      <c r="C615" s="34" t="str">
        <f>VLOOKUP(D615,[1]apoio_Preços_MGS!$A$6:$B$238,2,FALSE)</f>
        <v>SUPORTE ADMINISTRATIVO</v>
      </c>
      <c r="D615" s="35">
        <v>61</v>
      </c>
      <c r="E615" s="33" t="str">
        <f>VLOOKUP(D615,[1]apoio_Preços_MGS!$A$6:$F$238,6,FALSE)</f>
        <v>SUPORTE ADMINISTRATIVO - DIARISTA DIURNO - 40H</v>
      </c>
      <c r="F615" s="36">
        <f>IFERROR(VLOOKUP(D615,'[1]apoio_cód catmas'!$B$2:$C$863,2,FALSE),0)</f>
        <v>63339</v>
      </c>
      <c r="G615" s="33" t="str">
        <f>IF(H615="N/A",VLOOKUP(F615&amp;40,'[1]apoio_cód catmas'!$A$1:$G$233,4,FALSE),VLOOKUP(F615&amp;H615,'[1]apoio_cód catmas'!$A$1:$G$233,4,FALSE))</f>
        <v>SUPORTE ADMINISTRATIVO - 30H, 36H, 40H OU 44H</v>
      </c>
      <c r="H615" s="36">
        <v>40</v>
      </c>
      <c r="I615" s="37">
        <v>3.7999999999999999E-2</v>
      </c>
      <c r="J615" s="38" t="s">
        <v>46</v>
      </c>
      <c r="K615" s="39">
        <v>7</v>
      </c>
      <c r="L615" s="39">
        <f t="shared" si="307"/>
        <v>420</v>
      </c>
      <c r="M615" s="40">
        <f>VLOOKUP(D615,[1]apoio_Preços_MGS!$A$6:$AN$238,18,FALSE)</f>
        <v>2774.8772597043444</v>
      </c>
      <c r="N615" s="40">
        <f>VLOOKUP(D615,[1]apoio_Preços_MGS!$A$6:$AN$238,19,FALSE)</f>
        <v>0</v>
      </c>
      <c r="O615" s="40">
        <f>VLOOKUP(D615,[1]apoio_Preços_MGS!$A$6:$AN$238,20,FALSE)</f>
        <v>0</v>
      </c>
      <c r="P615" s="40">
        <f>VLOOKUP(D615,[1]apoio_Preços_MGS!$A$6:$AN$238,21,FALSE)</f>
        <v>0</v>
      </c>
      <c r="Q615" s="40">
        <f>VLOOKUP(D615,[1]apoio_Preços_MGS!$A$6:$AN$238,22,FALSE)</f>
        <v>0</v>
      </c>
      <c r="R615" s="40">
        <f>VLOOKUP(D615,[1]apoio_Preços_MGS!$A$6:$AN$238,23,FALSE)</f>
        <v>0</v>
      </c>
      <c r="S615" s="40">
        <f>VLOOKUP(D615,[1]apoio_Preços_MGS!$A$6:$AN$238,24,FALSE)</f>
        <v>0</v>
      </c>
      <c r="T615" s="40">
        <f>VLOOKUP(D615,[1]apoio_Preços_MGS!$A$6:$AN$238,25,FALSE)</f>
        <v>0</v>
      </c>
      <c r="U615" s="40">
        <f t="shared" si="301"/>
        <v>2774.8772597043444</v>
      </c>
      <c r="V615" s="41">
        <f>VLOOKUP(D615,[1]apoio_Preços_MGS!$A$6:$AN$238,27,FALSE)</f>
        <v>0.81799999999999995</v>
      </c>
      <c r="W615" s="40">
        <f t="shared" si="302"/>
        <v>2269.8495984381534</v>
      </c>
      <c r="X615" s="40">
        <f>VLOOKUP(D615,[1]apoio_Preços_MGS!$A$6:$AN$238,29,FALSE)</f>
        <v>0</v>
      </c>
      <c r="Y615" s="40">
        <f>VLOOKUP(D615,[1]apoio_Preços_MGS!$A$6:$AN$238,30,FALSE)</f>
        <v>6.5772863955289598E-2</v>
      </c>
      <c r="Z615" s="40">
        <f t="shared" si="312"/>
        <v>6.5772863955289598E-2</v>
      </c>
      <c r="AA615" s="40">
        <f>VLOOKUP(D615,[1]apoio_Preços_MGS!$A$6:$AN$238,32,FALSE)</f>
        <v>5.327764338632341</v>
      </c>
      <c r="AB615" s="40">
        <f>VLOOKUP(D615,[1]apoio_Preços_MGS!$A$6:$AN$238,33,FALSE)</f>
        <v>168.10154139051505</v>
      </c>
      <c r="AC615" s="41">
        <f>VLOOKUP(D615,[1]apoio_Preços_MGS!$A$6:$AN$238,34,FALSE)</f>
        <v>0</v>
      </c>
      <c r="AD615" s="40">
        <f>(U615+W615+Z615+AB615+AA615+VLOOKUP(C615,[1]apoio_Prec_Folha!$A:$S,7,FALSE))*AC615</f>
        <v>0</v>
      </c>
      <c r="AE615" s="42">
        <f>VLOOKUP(D615,[1]apoio_Preços_MGS!$A$6:$AN$238,36,FALSE)</f>
        <v>7.0000000000000007E-2</v>
      </c>
      <c r="AF615" s="40">
        <f>(U615+W615+Z615+AB615+AD615+AA615+VLOOKUP(C615,[1]apoio_Prec_Folha!$A:$S,7,FALSE))*AE615</f>
        <v>403.69192100416933</v>
      </c>
      <c r="AG615" s="40">
        <f t="shared" si="313"/>
        <v>5621.91</v>
      </c>
      <c r="AH615" s="43">
        <f t="shared" si="314"/>
        <v>6465.7</v>
      </c>
      <c r="AI615" s="43">
        <f t="shared" si="315"/>
        <v>45259.9</v>
      </c>
      <c r="AJ615" s="43">
        <f t="shared" si="316"/>
        <v>2715594</v>
      </c>
      <c r="AK615" s="44">
        <f>VLOOKUP(D615,[1]apoio_Preços_MGS!$A$6:$AN$238,39,FALSE)</f>
        <v>181.81818181818184</v>
      </c>
      <c r="AL615" s="44">
        <f>IF(J615="demais municípios",VLOOKUP(D615,[1]apoio_Preços_MGS!$A$6:$AN$238,39,FALSE),0)</f>
        <v>181.81818181818184</v>
      </c>
      <c r="AM615" s="44">
        <v>0</v>
      </c>
      <c r="AN615" s="45">
        <f t="shared" si="321"/>
        <v>1272.727272727273</v>
      </c>
      <c r="AO615" s="44">
        <f>VLOOKUP(D615,[1]apoio_Preços_MGS!$A$6:$AN$238,40,FALSE)</f>
        <v>548.79999999999995</v>
      </c>
      <c r="AP615" s="44">
        <f>IF(J615="demais municípios",VLOOKUP(D615,[1]apoio_Preços_MGS!$A$6:$AN$238,40,FALSE),0)</f>
        <v>548.79999999999995</v>
      </c>
      <c r="AQ615" s="44">
        <v>0</v>
      </c>
      <c r="AR615" s="45">
        <f t="shared" si="322"/>
        <v>3841.5999999999995</v>
      </c>
      <c r="AS615" s="45">
        <f t="shared" si="303"/>
        <v>5114.3272727272724</v>
      </c>
      <c r="AT615" s="45">
        <f t="shared" si="306"/>
        <v>306859.63636363635</v>
      </c>
      <c r="AU615" s="62"/>
      <c r="AV615" s="46"/>
      <c r="AW615" s="47"/>
      <c r="AX615" s="48"/>
      <c r="AY615" s="49"/>
      <c r="BA615" s="48"/>
    </row>
    <row r="616" spans="1:53" ht="19.5" customHeight="1" x14ac:dyDescent="0.25">
      <c r="A616" s="33" t="str">
        <f t="shared" si="304"/>
        <v>63339400,04</v>
      </c>
      <c r="B616" s="33" t="str">
        <f t="shared" si="305"/>
        <v>610,04</v>
      </c>
      <c r="C616" s="34" t="str">
        <f>VLOOKUP(D616,[1]apoio_Preços_MGS!$A$6:$B$238,2,FALSE)</f>
        <v>SUPORTE ADMINISTRATIVO</v>
      </c>
      <c r="D616" s="35">
        <v>61</v>
      </c>
      <c r="E616" s="33" t="str">
        <f>VLOOKUP(D616,[1]apoio_Preços_MGS!$A$6:$F$238,6,FALSE)</f>
        <v>SUPORTE ADMINISTRATIVO - DIARISTA DIURNO - 40H</v>
      </c>
      <c r="F616" s="36">
        <f>IFERROR(VLOOKUP(D616,'[1]apoio_cód catmas'!$B$2:$C$863,2,FALSE),0)</f>
        <v>63339</v>
      </c>
      <c r="G616" s="33" t="str">
        <f>IF(H616="N/A",VLOOKUP(F616&amp;40,'[1]apoio_cód catmas'!$A$1:$G$233,4,FALSE),VLOOKUP(F616&amp;H616,'[1]apoio_cód catmas'!$A$1:$G$233,4,FALSE))</f>
        <v>SUPORTE ADMINISTRATIVO - 30H, 36H, 40H OU 44H</v>
      </c>
      <c r="H616" s="36">
        <v>40</v>
      </c>
      <c r="I616" s="37">
        <v>0.04</v>
      </c>
      <c r="J616" s="38" t="s">
        <v>46</v>
      </c>
      <c r="K616" s="39">
        <v>96</v>
      </c>
      <c r="L616" s="39">
        <f t="shared" si="307"/>
        <v>5760</v>
      </c>
      <c r="M616" s="40">
        <f>VLOOKUP(D616,[1]apoio_Preços_MGS!$A$6:$AN$238,18,FALSE)</f>
        <v>2774.8772597043444</v>
      </c>
      <c r="N616" s="40">
        <f>VLOOKUP(D616,[1]apoio_Preços_MGS!$A$6:$AN$238,19,FALSE)</f>
        <v>0</v>
      </c>
      <c r="O616" s="40">
        <f>VLOOKUP(D616,[1]apoio_Preços_MGS!$A$6:$AN$238,20,FALSE)</f>
        <v>0</v>
      </c>
      <c r="P616" s="40">
        <f>VLOOKUP(D616,[1]apoio_Preços_MGS!$A$6:$AN$238,21,FALSE)</f>
        <v>0</v>
      </c>
      <c r="Q616" s="40">
        <f>VLOOKUP(D616,[1]apoio_Preços_MGS!$A$6:$AN$238,22,FALSE)</f>
        <v>0</v>
      </c>
      <c r="R616" s="40">
        <f>VLOOKUP(D616,[1]apoio_Preços_MGS!$A$6:$AN$238,23,FALSE)</f>
        <v>0</v>
      </c>
      <c r="S616" s="40">
        <f>VLOOKUP(D616,[1]apoio_Preços_MGS!$A$6:$AN$238,24,FALSE)</f>
        <v>0</v>
      </c>
      <c r="T616" s="40">
        <f>VLOOKUP(D616,[1]apoio_Preços_MGS!$A$6:$AN$238,25,FALSE)</f>
        <v>0</v>
      </c>
      <c r="U616" s="40">
        <f t="shared" si="301"/>
        <v>2774.8772597043444</v>
      </c>
      <c r="V616" s="41">
        <f>VLOOKUP(D616,[1]apoio_Preços_MGS!$A$6:$AN$238,27,FALSE)</f>
        <v>0.81799999999999995</v>
      </c>
      <c r="W616" s="40">
        <f t="shared" si="302"/>
        <v>2269.8495984381534</v>
      </c>
      <c r="X616" s="40">
        <f>VLOOKUP(D616,[1]apoio_Preços_MGS!$A$6:$AN$238,29,FALSE)</f>
        <v>0</v>
      </c>
      <c r="Y616" s="40">
        <f>VLOOKUP(D616,[1]apoio_Preços_MGS!$A$6:$AN$238,30,FALSE)</f>
        <v>6.5772863955289598E-2</v>
      </c>
      <c r="Z616" s="40">
        <f t="shared" si="312"/>
        <v>6.5772863955289598E-2</v>
      </c>
      <c r="AA616" s="40">
        <f>VLOOKUP(D616,[1]apoio_Preços_MGS!$A$6:$AN$238,32,FALSE)</f>
        <v>5.327764338632341</v>
      </c>
      <c r="AB616" s="40">
        <f>VLOOKUP(D616,[1]apoio_Preços_MGS!$A$6:$AN$238,33,FALSE)</f>
        <v>168.10154139051505</v>
      </c>
      <c r="AC616" s="41">
        <f>VLOOKUP(D616,[1]apoio_Preços_MGS!$A$6:$AN$238,34,FALSE)</f>
        <v>0</v>
      </c>
      <c r="AD616" s="40">
        <f>(U616+W616+Z616+AB616+AA616+VLOOKUP(C616,[1]apoio_Prec_Folha!$A:$S,7,FALSE))*AC616</f>
        <v>0</v>
      </c>
      <c r="AE616" s="42">
        <f>VLOOKUP(D616,[1]apoio_Preços_MGS!$A$6:$AN$238,36,FALSE)</f>
        <v>7.0000000000000007E-2</v>
      </c>
      <c r="AF616" s="40">
        <f>(U616+W616+Z616+AB616+AD616+AA616+VLOOKUP(C616,[1]apoio_Prec_Folha!$A:$S,7,FALSE))*AE616</f>
        <v>403.69192100416933</v>
      </c>
      <c r="AG616" s="40">
        <f t="shared" si="313"/>
        <v>5621.91</v>
      </c>
      <c r="AH616" s="43">
        <f t="shared" si="314"/>
        <v>6480.6</v>
      </c>
      <c r="AI616" s="43">
        <f t="shared" si="315"/>
        <v>622137.60000000009</v>
      </c>
      <c r="AJ616" s="43">
        <f t="shared" si="316"/>
        <v>37328256</v>
      </c>
      <c r="AK616" s="44">
        <f>VLOOKUP(D616,[1]apoio_Preços_MGS!$A$6:$AN$238,39,FALSE)</f>
        <v>181.81818181818184</v>
      </c>
      <c r="AL616" s="44">
        <f>IF(J616="demais municípios",VLOOKUP(D616,[1]apoio_Preços_MGS!$A$6:$AN$238,39,FALSE),0)</f>
        <v>181.81818181818184</v>
      </c>
      <c r="AM616" s="44">
        <v>0</v>
      </c>
      <c r="AN616" s="45">
        <f t="shared" si="321"/>
        <v>17454.545454545456</v>
      </c>
      <c r="AO616" s="44">
        <f>VLOOKUP(D616,[1]apoio_Preços_MGS!$A$6:$AN$238,40,FALSE)</f>
        <v>548.79999999999995</v>
      </c>
      <c r="AP616" s="44">
        <f>IF(J616="demais municípios",VLOOKUP(D616,[1]apoio_Preços_MGS!$A$6:$AN$238,40,FALSE),0)</f>
        <v>548.79999999999995</v>
      </c>
      <c r="AQ616" s="44">
        <v>0</v>
      </c>
      <c r="AR616" s="45">
        <f t="shared" si="322"/>
        <v>52684.799999999996</v>
      </c>
      <c r="AS616" s="45">
        <f t="shared" si="303"/>
        <v>70139.345454545459</v>
      </c>
      <c r="AT616" s="45">
        <f t="shared" si="306"/>
        <v>4208360.7272727275</v>
      </c>
      <c r="AU616" s="62"/>
      <c r="AV616" s="46"/>
      <c r="AW616" s="47"/>
      <c r="AX616" s="48"/>
      <c r="AY616" s="49"/>
      <c r="BA616" s="48"/>
    </row>
    <row r="617" spans="1:53" ht="19.5" customHeight="1" x14ac:dyDescent="0.25">
      <c r="A617" s="33" t="str">
        <f t="shared" si="304"/>
        <v>63339400,05</v>
      </c>
      <c r="B617" s="33" t="str">
        <f t="shared" si="305"/>
        <v>610,05</v>
      </c>
      <c r="C617" s="34" t="str">
        <f>VLOOKUP(D617,[1]apoio_Preços_MGS!$A$6:$B$238,2,FALSE)</f>
        <v>SUPORTE ADMINISTRATIVO</v>
      </c>
      <c r="D617" s="35">
        <v>61</v>
      </c>
      <c r="E617" s="33" t="str">
        <f>VLOOKUP(D617,[1]apoio_Preços_MGS!$A$6:$F$238,6,FALSE)</f>
        <v>SUPORTE ADMINISTRATIVO - DIARISTA DIURNO - 40H</v>
      </c>
      <c r="F617" s="36">
        <f>IFERROR(VLOOKUP(D617,'[1]apoio_cód catmas'!$B$2:$C$863,2,FALSE),0)</f>
        <v>63339</v>
      </c>
      <c r="G617" s="33" t="str">
        <f>IF(H617="N/A",VLOOKUP(F617&amp;40,'[1]apoio_cód catmas'!$A$1:$G$233,4,FALSE),VLOOKUP(F617&amp;H617,'[1]apoio_cód catmas'!$A$1:$G$233,4,FALSE))</f>
        <v>SUPORTE ADMINISTRATIVO - 30H, 36H, 40H OU 44H</v>
      </c>
      <c r="H617" s="36">
        <v>40</v>
      </c>
      <c r="I617" s="37">
        <v>0.05</v>
      </c>
      <c r="J617" s="38" t="s">
        <v>46</v>
      </c>
      <c r="K617" s="39">
        <v>27</v>
      </c>
      <c r="L617" s="39">
        <f>K617*56</f>
        <v>1512</v>
      </c>
      <c r="M617" s="40">
        <f>VLOOKUP(D617,[1]apoio_Preços_MGS!$A$6:$AN$238,18,FALSE)</f>
        <v>2774.8772597043444</v>
      </c>
      <c r="N617" s="40">
        <f>VLOOKUP(D617,[1]apoio_Preços_MGS!$A$6:$AN$238,19,FALSE)</f>
        <v>0</v>
      </c>
      <c r="O617" s="40">
        <f>VLOOKUP(D617,[1]apoio_Preços_MGS!$A$6:$AN$238,20,FALSE)</f>
        <v>0</v>
      </c>
      <c r="P617" s="40">
        <f>VLOOKUP(D617,[1]apoio_Preços_MGS!$A$6:$AN$238,21,FALSE)</f>
        <v>0</v>
      </c>
      <c r="Q617" s="40">
        <f>VLOOKUP(D617,[1]apoio_Preços_MGS!$A$6:$AN$238,22,FALSE)</f>
        <v>0</v>
      </c>
      <c r="R617" s="40">
        <f>VLOOKUP(D617,[1]apoio_Preços_MGS!$A$6:$AN$238,23,FALSE)</f>
        <v>0</v>
      </c>
      <c r="S617" s="40">
        <f>VLOOKUP(D617,[1]apoio_Preços_MGS!$A$6:$AN$238,24,FALSE)</f>
        <v>0</v>
      </c>
      <c r="T617" s="40">
        <f>VLOOKUP(D617,[1]apoio_Preços_MGS!$A$6:$AN$238,25,FALSE)</f>
        <v>0</v>
      </c>
      <c r="U617" s="40">
        <f t="shared" si="301"/>
        <v>2774.8772597043444</v>
      </c>
      <c r="V617" s="41">
        <f>VLOOKUP(D617,[1]apoio_Preços_MGS!$A$6:$AN$238,27,FALSE)</f>
        <v>0.81799999999999995</v>
      </c>
      <c r="W617" s="40">
        <f t="shared" si="302"/>
        <v>2269.8495984381534</v>
      </c>
      <c r="X617" s="40">
        <f>VLOOKUP(D617,[1]apoio_Preços_MGS!$A$6:$AN$238,29,FALSE)</f>
        <v>0</v>
      </c>
      <c r="Y617" s="40">
        <f>VLOOKUP(D617,[1]apoio_Preços_MGS!$A$6:$AN$238,30,FALSE)</f>
        <v>6.5772863955289598E-2</v>
      </c>
      <c r="Z617" s="40">
        <f t="shared" si="312"/>
        <v>6.5772863955289598E-2</v>
      </c>
      <c r="AA617" s="40">
        <f>VLOOKUP(D617,[1]apoio_Preços_MGS!$A$6:$AN$238,32,FALSE)</f>
        <v>5.327764338632341</v>
      </c>
      <c r="AB617" s="40">
        <f>VLOOKUP(D617,[1]apoio_Preços_MGS!$A$6:$AN$238,33,FALSE)</f>
        <v>168.10154139051505</v>
      </c>
      <c r="AC617" s="41">
        <f>VLOOKUP(D617,[1]apoio_Preços_MGS!$A$6:$AN$238,34,FALSE)</f>
        <v>0</v>
      </c>
      <c r="AD617" s="40">
        <f>(U617+W617+Z617+AB617+AA617+VLOOKUP(C617,[1]apoio_Prec_Folha!$A:$S,7,FALSE))*AC617</f>
        <v>0</v>
      </c>
      <c r="AE617" s="42">
        <f>VLOOKUP(D617,[1]apoio_Preços_MGS!$A$6:$AN$238,36,FALSE)</f>
        <v>7.0000000000000007E-2</v>
      </c>
      <c r="AF617" s="40">
        <f>(U617+W617+Z617+AB617+AD617+AA617+VLOOKUP(C617,[1]apoio_Prec_Folha!$A:$S,7,FALSE))*AE617</f>
        <v>403.69192100416933</v>
      </c>
      <c r="AG617" s="40">
        <f t="shared" si="313"/>
        <v>5621.91</v>
      </c>
      <c r="AH617" s="43">
        <f t="shared" si="314"/>
        <v>6556.15</v>
      </c>
      <c r="AI617" s="43">
        <f t="shared" si="315"/>
        <v>177016.05</v>
      </c>
      <c r="AJ617" s="43">
        <f t="shared" si="316"/>
        <v>9912898.7999999989</v>
      </c>
      <c r="AK617" s="44">
        <f>VLOOKUP(D617,[1]apoio_Preços_MGS!$A$6:$AN$238,39,FALSE)</f>
        <v>181.81818181818184</v>
      </c>
      <c r="AL617" s="44">
        <f>IF(J617="demais municípios",VLOOKUP(D617,[1]apoio_Preços_MGS!$A$6:$AN$238,39,FALSE),0)</f>
        <v>181.81818181818184</v>
      </c>
      <c r="AM617" s="44">
        <v>0</v>
      </c>
      <c r="AN617" s="45">
        <f t="shared" si="321"/>
        <v>4909.0909090909099</v>
      </c>
      <c r="AO617" s="44">
        <f>VLOOKUP(D617,[1]apoio_Preços_MGS!$A$6:$AN$238,40,FALSE)</f>
        <v>548.79999999999995</v>
      </c>
      <c r="AP617" s="44">
        <f>IF(J617="demais municípios",VLOOKUP(D617,[1]apoio_Preços_MGS!$A$6:$AN$238,40,FALSE),0)</f>
        <v>548.79999999999995</v>
      </c>
      <c r="AQ617" s="44">
        <v>0</v>
      </c>
      <c r="AR617" s="45">
        <f t="shared" si="322"/>
        <v>14817.599999999999</v>
      </c>
      <c r="AS617" s="45">
        <f t="shared" si="303"/>
        <v>19726.69090909091</v>
      </c>
      <c r="AT617" s="45">
        <f t="shared" si="306"/>
        <v>1183601.4545454546</v>
      </c>
      <c r="AU617" s="62"/>
      <c r="AV617" s="46"/>
      <c r="AW617" s="47"/>
      <c r="AX617" s="48"/>
      <c r="AY617" s="49"/>
      <c r="BA617" s="48"/>
    </row>
    <row r="618" spans="1:53" ht="19.5" customHeight="1" x14ac:dyDescent="0.25">
      <c r="A618" s="33" t="str">
        <f t="shared" si="304"/>
        <v>63339400,05</v>
      </c>
      <c r="B618" s="33" t="str">
        <f t="shared" si="305"/>
        <v>610,05</v>
      </c>
      <c r="C618" s="34" t="str">
        <f>VLOOKUP(D618,[1]apoio_Preços_MGS!$A$6:$B$238,2,FALSE)</f>
        <v>SUPORTE ADMINISTRATIVO</v>
      </c>
      <c r="D618" s="35">
        <v>61</v>
      </c>
      <c r="E618" s="33" t="str">
        <f>VLOOKUP(D618,[1]apoio_Preços_MGS!$A$6:$F$238,6,FALSE)</f>
        <v>SUPORTE ADMINISTRATIVO - DIARISTA DIURNO - 40H</v>
      </c>
      <c r="F618" s="36">
        <f>IFERROR(VLOOKUP(D618,'[1]apoio_cód catmas'!$B$2:$C$863,2,FALSE),0)</f>
        <v>63339</v>
      </c>
      <c r="G618" s="33" t="str">
        <f>IF(H618="N/A",VLOOKUP(F618&amp;40,'[1]apoio_cód catmas'!$A$1:$G$233,4,FALSE),VLOOKUP(F618&amp;H618,'[1]apoio_cód catmas'!$A$1:$G$233,4,FALSE))</f>
        <v>SUPORTE ADMINISTRATIVO - 30H, 36H, 40H OU 44H</v>
      </c>
      <c r="H618" s="36">
        <v>40</v>
      </c>
      <c r="I618" s="37">
        <v>0.05</v>
      </c>
      <c r="J618" s="38" t="s">
        <v>46</v>
      </c>
      <c r="K618" s="39">
        <f>2496-K619-1</f>
        <v>142</v>
      </c>
      <c r="L618" s="39">
        <f t="shared" si="307"/>
        <v>8520</v>
      </c>
      <c r="M618" s="40">
        <f>VLOOKUP(D618,[1]apoio_Preços_MGS!$A$6:$AN$238,18,FALSE)</f>
        <v>2774.8772597043444</v>
      </c>
      <c r="N618" s="40">
        <f>VLOOKUP(D618,[1]apoio_Preços_MGS!$A$6:$AN$238,19,FALSE)</f>
        <v>0</v>
      </c>
      <c r="O618" s="40">
        <f>VLOOKUP(D618,[1]apoio_Preços_MGS!$A$6:$AN$238,20,FALSE)</f>
        <v>0</v>
      </c>
      <c r="P618" s="40">
        <f>VLOOKUP(D618,[1]apoio_Preços_MGS!$A$6:$AN$238,21,FALSE)</f>
        <v>0</v>
      </c>
      <c r="Q618" s="40">
        <f>VLOOKUP(D618,[1]apoio_Preços_MGS!$A$6:$AN$238,22,FALSE)</f>
        <v>0</v>
      </c>
      <c r="R618" s="40">
        <f>VLOOKUP(D618,[1]apoio_Preços_MGS!$A$6:$AN$238,23,FALSE)</f>
        <v>0</v>
      </c>
      <c r="S618" s="40">
        <f>VLOOKUP(D618,[1]apoio_Preços_MGS!$A$6:$AN$238,24,FALSE)</f>
        <v>0</v>
      </c>
      <c r="T618" s="40">
        <f>VLOOKUP(D618,[1]apoio_Preços_MGS!$A$6:$AN$238,25,FALSE)</f>
        <v>0</v>
      </c>
      <c r="U618" s="40">
        <f t="shared" si="301"/>
        <v>2774.8772597043444</v>
      </c>
      <c r="V618" s="41">
        <f>VLOOKUP(D618,[1]apoio_Preços_MGS!$A$6:$AN$238,27,FALSE)</f>
        <v>0.81799999999999995</v>
      </c>
      <c r="W618" s="40">
        <f t="shared" si="302"/>
        <v>2269.8495984381534</v>
      </c>
      <c r="X618" s="40">
        <f>VLOOKUP(D618,[1]apoio_Preços_MGS!$A$6:$AN$238,29,FALSE)</f>
        <v>0</v>
      </c>
      <c r="Y618" s="40">
        <f>VLOOKUP(D618,[1]apoio_Preços_MGS!$A$6:$AN$238,30,FALSE)</f>
        <v>6.5772863955289598E-2</v>
      </c>
      <c r="Z618" s="40">
        <f t="shared" si="312"/>
        <v>6.5772863955289598E-2</v>
      </c>
      <c r="AA618" s="40">
        <f>VLOOKUP(D618,[1]apoio_Preços_MGS!$A$6:$AN$238,32,FALSE)</f>
        <v>5.327764338632341</v>
      </c>
      <c r="AB618" s="40">
        <f>VLOOKUP(D618,[1]apoio_Preços_MGS!$A$6:$AN$238,33,FALSE)</f>
        <v>168.10154139051505</v>
      </c>
      <c r="AC618" s="41">
        <f>VLOOKUP(D618,[1]apoio_Preços_MGS!$A$6:$AN$238,34,FALSE)</f>
        <v>0</v>
      </c>
      <c r="AD618" s="40">
        <f>(U618+W618+Z618+AB618+AA618+VLOOKUP(C618,[1]apoio_Prec_Folha!$A:$S,7,FALSE))*AC618</f>
        <v>0</v>
      </c>
      <c r="AE618" s="42">
        <f>VLOOKUP(D618,[1]apoio_Preços_MGS!$A$6:$AN$238,36,FALSE)</f>
        <v>7.0000000000000007E-2</v>
      </c>
      <c r="AF618" s="40">
        <f>(U618+W618+Z618+AB618+AD618+AA618+VLOOKUP(C618,[1]apoio_Prec_Folha!$A:$S,7,FALSE))*AE618</f>
        <v>403.69192100416933</v>
      </c>
      <c r="AG618" s="40">
        <f t="shared" si="313"/>
        <v>5621.91</v>
      </c>
      <c r="AH618" s="43">
        <f t="shared" si="314"/>
        <v>6556.15</v>
      </c>
      <c r="AI618" s="43">
        <f t="shared" si="315"/>
        <v>930973.29999999993</v>
      </c>
      <c r="AJ618" s="43">
        <f t="shared" si="316"/>
        <v>55858398</v>
      </c>
      <c r="AK618" s="44">
        <f>VLOOKUP(D618,[1]apoio_Preços_MGS!$A$6:$AN$238,39,FALSE)</f>
        <v>181.81818181818184</v>
      </c>
      <c r="AL618" s="44">
        <f>IF(J618="demais municípios",VLOOKUP(D618,[1]apoio_Preços_MGS!$A$6:$AN$238,39,FALSE),0)</f>
        <v>181.81818181818184</v>
      </c>
      <c r="AM618" s="44">
        <v>0</v>
      </c>
      <c r="AN618" s="45">
        <f t="shared" si="321"/>
        <v>25818.18181818182</v>
      </c>
      <c r="AO618" s="44">
        <f>VLOOKUP(D618,[1]apoio_Preços_MGS!$A$6:$AN$238,40,FALSE)</f>
        <v>548.79999999999995</v>
      </c>
      <c r="AP618" s="44">
        <f>IF(J618="demais municípios",VLOOKUP(D618,[1]apoio_Preços_MGS!$A$6:$AN$238,40,FALSE),0)</f>
        <v>548.79999999999995</v>
      </c>
      <c r="AQ618" s="44">
        <v>0</v>
      </c>
      <c r="AR618" s="45">
        <f t="shared" si="322"/>
        <v>77929.599999999991</v>
      </c>
      <c r="AS618" s="45">
        <f t="shared" si="303"/>
        <v>103747.78181818181</v>
      </c>
      <c r="AT618" s="45">
        <f t="shared" si="306"/>
        <v>6224866.9090909092</v>
      </c>
      <c r="AU618" s="62"/>
      <c r="AV618" s="46"/>
      <c r="AW618" s="47"/>
      <c r="AX618" s="48"/>
      <c r="AY618" s="49"/>
      <c r="BA618" s="48"/>
    </row>
    <row r="619" spans="1:53" ht="19.5" customHeight="1" x14ac:dyDescent="0.25">
      <c r="A619" s="33" t="str">
        <f t="shared" si="304"/>
        <v>63339400,05</v>
      </c>
      <c r="B619" s="33" t="str">
        <f t="shared" si="305"/>
        <v>610,05</v>
      </c>
      <c r="C619" s="34" t="str">
        <f>VLOOKUP(D619,[1]apoio_Preços_MGS!$A$6:$B$238,2,FALSE)</f>
        <v>SUPORTE ADMINISTRATIVO</v>
      </c>
      <c r="D619" s="35">
        <v>61</v>
      </c>
      <c r="E619" s="33" t="str">
        <f>VLOOKUP(D619,[1]apoio_Preços_MGS!$A$6:$F$238,6,FALSE)</f>
        <v>SUPORTE ADMINISTRATIVO - DIARISTA DIURNO - 40H</v>
      </c>
      <c r="F619" s="36">
        <f>IFERROR(VLOOKUP(D619,'[1]apoio_cód catmas'!$B$2:$C$863,2,FALSE),0)</f>
        <v>63339</v>
      </c>
      <c r="G619" s="33" t="str">
        <f>IF(H619="N/A",VLOOKUP(F619&amp;40,'[1]apoio_cód catmas'!$A$1:$G$233,4,FALSE),VLOOKUP(F619&amp;H619,'[1]apoio_cód catmas'!$A$1:$G$233,4,FALSE))</f>
        <v>SUPORTE ADMINISTRATIVO - 30H, 36H, 40H OU 44H</v>
      </c>
      <c r="H619" s="36">
        <v>40</v>
      </c>
      <c r="I619" s="37">
        <v>0.05</v>
      </c>
      <c r="J619" s="38" t="s">
        <v>47</v>
      </c>
      <c r="K619" s="39">
        <v>2353</v>
      </c>
      <c r="L619" s="39">
        <f t="shared" si="307"/>
        <v>141180</v>
      </c>
      <c r="M619" s="40">
        <f>VLOOKUP(D619,[1]apoio_Preços_MGS!$A$6:$AN$238,18,FALSE)</f>
        <v>2774.8772597043444</v>
      </c>
      <c r="N619" s="40">
        <f>VLOOKUP(D619,[1]apoio_Preços_MGS!$A$6:$AN$238,19,FALSE)</f>
        <v>0</v>
      </c>
      <c r="O619" s="40">
        <f>VLOOKUP(D619,[1]apoio_Preços_MGS!$A$6:$AN$238,20,FALSE)</f>
        <v>0</v>
      </c>
      <c r="P619" s="40">
        <f>VLOOKUP(D619,[1]apoio_Preços_MGS!$A$6:$AN$238,21,FALSE)</f>
        <v>0</v>
      </c>
      <c r="Q619" s="40">
        <f>VLOOKUP(D619,[1]apoio_Preços_MGS!$A$6:$AN$238,22,FALSE)</f>
        <v>0</v>
      </c>
      <c r="R619" s="40">
        <f>VLOOKUP(D619,[1]apoio_Preços_MGS!$A$6:$AN$238,23,FALSE)</f>
        <v>0</v>
      </c>
      <c r="S619" s="40">
        <f>VLOOKUP(D619,[1]apoio_Preços_MGS!$A$6:$AN$238,24,FALSE)</f>
        <v>0</v>
      </c>
      <c r="T619" s="40">
        <f>VLOOKUP(D619,[1]apoio_Preços_MGS!$A$6:$AN$238,25,FALSE)</f>
        <v>0</v>
      </c>
      <c r="U619" s="40">
        <f t="shared" si="301"/>
        <v>2774.8772597043444</v>
      </c>
      <c r="V619" s="41">
        <f>VLOOKUP(D619,[1]apoio_Preços_MGS!$A$6:$AN$238,27,FALSE)</f>
        <v>0.81799999999999995</v>
      </c>
      <c r="W619" s="40">
        <f t="shared" si="302"/>
        <v>2269.8495984381534</v>
      </c>
      <c r="X619" s="40">
        <f>VLOOKUP(D619,[1]apoio_Preços_MGS!$A$6:$AN$238,29,FALSE)</f>
        <v>0</v>
      </c>
      <c r="Y619" s="40">
        <f>VLOOKUP(D619,[1]apoio_Preços_MGS!$A$6:$AN$238,30,FALSE)</f>
        <v>6.5772863955289598E-2</v>
      </c>
      <c r="Z619" s="40">
        <f t="shared" si="312"/>
        <v>6.5772863955289598E-2</v>
      </c>
      <c r="AA619" s="40">
        <f>VLOOKUP(D619,[1]apoio_Preços_MGS!$A$6:$AN$238,32,FALSE)</f>
        <v>5.327764338632341</v>
      </c>
      <c r="AB619" s="40">
        <f>VLOOKUP(D619,[1]apoio_Preços_MGS!$A$6:$AN$238,33,FALSE)</f>
        <v>168.10154139051505</v>
      </c>
      <c r="AC619" s="41">
        <f>VLOOKUP(D619,[1]apoio_Preços_MGS!$A$6:$AN$238,34,FALSE)</f>
        <v>0</v>
      </c>
      <c r="AD619" s="40">
        <f>(U619+W619+Z619+AB619+AA619+VLOOKUP(C619,[1]apoio_Prec_Folha!$A:$S,7,FALSE))*AC619</f>
        <v>0</v>
      </c>
      <c r="AE619" s="42">
        <f>VLOOKUP(D619,[1]apoio_Preços_MGS!$A$6:$AN$238,36,FALSE)</f>
        <v>7.0000000000000007E-2</v>
      </c>
      <c r="AF619" s="40">
        <f>(U619+W619+Z619+AB619+AD619+AA619+VLOOKUP(C619,[1]apoio_Prec_Folha!$A:$S,7,FALSE))*AE619</f>
        <v>403.69192100416933</v>
      </c>
      <c r="AG619" s="40">
        <f t="shared" si="313"/>
        <v>5621.91</v>
      </c>
      <c r="AH619" s="43">
        <f t="shared" si="314"/>
        <v>6556.15</v>
      </c>
      <c r="AI619" s="43">
        <f t="shared" si="315"/>
        <v>15426620.949999999</v>
      </c>
      <c r="AJ619" s="43">
        <f t="shared" si="316"/>
        <v>925597257</v>
      </c>
      <c r="AK619" s="44">
        <f>VLOOKUP(D619,[1]apoio_Preços_MGS!$A$6:$AN$238,39,FALSE)</f>
        <v>181.81818181818184</v>
      </c>
      <c r="AL619" s="44">
        <f>IF(J619="demais municípios",VLOOKUP(D619,[1]apoio_Preços_MGS!$A$6:$AN$238,39,FALSE),0)</f>
        <v>0</v>
      </c>
      <c r="AM619" s="44">
        <f>TRUNC(ROUND(($I619)/(1-($I619)),5)*VLOOKUP(D619,[1]apoio_Preços_MGS!$A$6:$AN$238,39,FALSE)+VLOOKUP(D619,[1]apoio_Preços_MGS!$A$6:$AN$238,39,FALSE),2)</f>
        <v>191.38</v>
      </c>
      <c r="AN619" s="45">
        <f t="shared" si="308"/>
        <v>450317.14</v>
      </c>
      <c r="AO619" s="44">
        <f>VLOOKUP(D619,[1]apoio_Preços_MGS!$A$6:$AN$238,40,FALSE)</f>
        <v>548.79999999999995</v>
      </c>
      <c r="AP619" s="44">
        <f>IF(J619="demais municípios",VLOOKUP(D619,[1]apoio_Preços_MGS!$A$6:$AN$238,40,FALSE),0)</f>
        <v>0</v>
      </c>
      <c r="AQ619" s="44">
        <f>TRUNC(ROUND(($I619)/(1-($I619)),5)*VLOOKUP(D619,[1]apoio_Preços_MGS!$A$6:$AN$238,40,FALSE)+VLOOKUP(D619,[1]apoio_Preços_MGS!$A$6:$AN$238,40,FALSE),2)</f>
        <v>577.67999999999995</v>
      </c>
      <c r="AR619" s="45">
        <f t="shared" si="309"/>
        <v>1359281.0399999998</v>
      </c>
      <c r="AS619" s="45">
        <f t="shared" si="303"/>
        <v>1809598.1799999997</v>
      </c>
      <c r="AT619" s="45">
        <f t="shared" si="306"/>
        <v>108575890.79999998</v>
      </c>
      <c r="AU619" s="62"/>
      <c r="AV619" s="46"/>
      <c r="AW619" s="47"/>
      <c r="AX619" s="48"/>
      <c r="AY619" s="49"/>
      <c r="BA619" s="48"/>
    </row>
    <row r="620" spans="1:53" ht="19.5" customHeight="1" x14ac:dyDescent="0.25">
      <c r="A620" s="33" t="str">
        <f t="shared" si="304"/>
        <v>63339440,02</v>
      </c>
      <c r="B620" s="33" t="str">
        <f t="shared" si="305"/>
        <v>600,02</v>
      </c>
      <c r="C620" s="34" t="str">
        <f>VLOOKUP(D620,[1]apoio_Preços_MGS!$A$6:$B$238,2,FALSE)</f>
        <v>SUPORTE ADMINISTRATIVO</v>
      </c>
      <c r="D620" s="35">
        <v>60</v>
      </c>
      <c r="E620" s="33" t="str">
        <f>VLOOKUP(D620,[1]apoio_Preços_MGS!$A$6:$F$238,6,FALSE)</f>
        <v>SUPORTE ADMINISTRATIVO - DIARISTA DIURNO - 44H</v>
      </c>
      <c r="F620" s="36">
        <f>IFERROR(VLOOKUP(D620,'[1]apoio_cód catmas'!$B$2:$C$863,2,FALSE),0)</f>
        <v>63339</v>
      </c>
      <c r="G620" s="33" t="str">
        <f>IF(H620="N/A",VLOOKUP(F620&amp;40,'[1]apoio_cód catmas'!$A$1:$G$233,4,FALSE),VLOOKUP(F620&amp;H620,'[1]apoio_cód catmas'!$A$1:$G$233,4,FALSE))</f>
        <v>SUPORTE ADMINISTRATIVO - 30H, 36H, 40H OU 44H</v>
      </c>
      <c r="H620" s="36">
        <v>44</v>
      </c>
      <c r="I620" s="37">
        <v>0.02</v>
      </c>
      <c r="J620" s="38" t="s">
        <v>46</v>
      </c>
      <c r="K620" s="39">
        <v>8</v>
      </c>
      <c r="L620" s="39">
        <f t="shared" si="307"/>
        <v>480</v>
      </c>
      <c r="M620" s="40">
        <f>VLOOKUP(D620,[1]apoio_Preços_MGS!$A$6:$AN$238,18,FALSE)</f>
        <v>3052.3649856747788</v>
      </c>
      <c r="N620" s="40">
        <f>VLOOKUP(D620,[1]apoio_Preços_MGS!$A$6:$AN$238,19,FALSE)</f>
        <v>0</v>
      </c>
      <c r="O620" s="40">
        <f>VLOOKUP(D620,[1]apoio_Preços_MGS!$A$6:$AN$238,20,FALSE)</f>
        <v>0</v>
      </c>
      <c r="P620" s="40">
        <f>VLOOKUP(D620,[1]apoio_Preços_MGS!$A$6:$AN$238,21,FALSE)</f>
        <v>0</v>
      </c>
      <c r="Q620" s="40">
        <f>VLOOKUP(D620,[1]apoio_Preços_MGS!$A$6:$AN$238,22,FALSE)</f>
        <v>0</v>
      </c>
      <c r="R620" s="40">
        <f>VLOOKUP(D620,[1]apoio_Preços_MGS!$A$6:$AN$238,23,FALSE)</f>
        <v>0</v>
      </c>
      <c r="S620" s="40">
        <f>VLOOKUP(D620,[1]apoio_Preços_MGS!$A$6:$AN$238,24,FALSE)</f>
        <v>0</v>
      </c>
      <c r="T620" s="40">
        <f>VLOOKUP(D620,[1]apoio_Preços_MGS!$A$6:$AN$238,25,FALSE)</f>
        <v>0</v>
      </c>
      <c r="U620" s="40">
        <f t="shared" si="301"/>
        <v>3052.3649856747788</v>
      </c>
      <c r="V620" s="41">
        <f>VLOOKUP(D620,[1]apoio_Preços_MGS!$A$6:$AN$238,27,FALSE)</f>
        <v>0.81799999999999995</v>
      </c>
      <c r="W620" s="40">
        <f t="shared" si="302"/>
        <v>2496.8345582819688</v>
      </c>
      <c r="X620" s="40">
        <f>VLOOKUP(D620,[1]apoio_Preços_MGS!$A$6:$AN$238,29,FALSE)</f>
        <v>0</v>
      </c>
      <c r="Y620" s="40">
        <f>VLOOKUP(D620,[1]apoio_Preços_MGS!$A$6:$AN$238,30,FALSE)</f>
        <v>6.5772863955289598E-2</v>
      </c>
      <c r="Z620" s="40">
        <f t="shared" si="312"/>
        <v>6.5772863955289598E-2</v>
      </c>
      <c r="AA620" s="40">
        <f>VLOOKUP(D620,[1]apoio_Preços_MGS!$A$6:$AN$238,32,FALSE)</f>
        <v>5.8605407724955745</v>
      </c>
      <c r="AB620" s="40">
        <f>VLOOKUP(D620,[1]apoio_Preços_MGS!$A$6:$AN$238,33,FALSE)</f>
        <v>157.48825098563077</v>
      </c>
      <c r="AC620" s="41">
        <f>VLOOKUP(D620,[1]apoio_Preços_MGS!$A$6:$AN$238,34,FALSE)</f>
        <v>0</v>
      </c>
      <c r="AD620" s="40">
        <f>(U620+W620+Z620+AB620+AA620+VLOOKUP(C620,[1]apoio_Prec_Folha!$A:$S,7,FALSE))*AC620</f>
        <v>0</v>
      </c>
      <c r="AE620" s="42">
        <f>VLOOKUP(D620,[1]apoio_Preços_MGS!$A$6:$AN$238,36,FALSE)</f>
        <v>7.0000000000000007E-2</v>
      </c>
      <c r="AF620" s="40">
        <f>(U620+W620+Z620+AB620+AD620+AA620+VLOOKUP(C620,[1]apoio_Prec_Folha!$A:$S,7,FALSE))*AE620</f>
        <v>438.29937303319525</v>
      </c>
      <c r="AG620" s="40">
        <f t="shared" si="313"/>
        <v>6150.91</v>
      </c>
      <c r="AH620" s="43">
        <f t="shared" si="314"/>
        <v>6930.59</v>
      </c>
      <c r="AI620" s="43">
        <f t="shared" si="315"/>
        <v>55444.72</v>
      </c>
      <c r="AJ620" s="43">
        <f t="shared" si="316"/>
        <v>3326683.2</v>
      </c>
      <c r="AK620" s="44">
        <f>VLOOKUP(D620,[1]apoio_Preços_MGS!$A$6:$AN$238,39,FALSE)</f>
        <v>200.00000000000003</v>
      </c>
      <c r="AL620" s="44">
        <f>IF(J620="demais municípios",VLOOKUP(D620,[1]apoio_Preços_MGS!$A$6:$AN$238,39,FALSE),0)</f>
        <v>200.00000000000003</v>
      </c>
      <c r="AM620" s="44">
        <v>0</v>
      </c>
      <c r="AN620" s="45">
        <f t="shared" ref="AN620:AN623" si="323">AK620*K620</f>
        <v>1600.0000000000002</v>
      </c>
      <c r="AO620" s="44">
        <f>VLOOKUP(D620,[1]apoio_Preços_MGS!$A$6:$AN$238,40,FALSE)</f>
        <v>548.79999999999995</v>
      </c>
      <c r="AP620" s="44">
        <f>IF(J620="demais municípios",VLOOKUP(D620,[1]apoio_Preços_MGS!$A$6:$AN$238,40,FALSE),0)</f>
        <v>548.79999999999995</v>
      </c>
      <c r="AQ620" s="44">
        <v>0</v>
      </c>
      <c r="AR620" s="45">
        <f t="shared" ref="AR620:AR623" si="324">AO620*K620</f>
        <v>4390.3999999999996</v>
      </c>
      <c r="AS620" s="45">
        <f t="shared" si="303"/>
        <v>5990.4</v>
      </c>
      <c r="AT620" s="45">
        <f t="shared" si="306"/>
        <v>359424</v>
      </c>
      <c r="AU620" s="62"/>
      <c r="AV620" s="46"/>
      <c r="AW620" s="47"/>
      <c r="AX620" s="48"/>
      <c r="AY620" s="49"/>
      <c r="BA620" s="48"/>
    </row>
    <row r="621" spans="1:53" ht="19.5" customHeight="1" x14ac:dyDescent="0.25">
      <c r="A621" s="33" t="str">
        <f t="shared" si="304"/>
        <v>63339440,03</v>
      </c>
      <c r="B621" s="33" t="str">
        <f t="shared" si="305"/>
        <v>600,03</v>
      </c>
      <c r="C621" s="34" t="str">
        <f>VLOOKUP(D621,[1]apoio_Preços_MGS!$A$6:$B$238,2,FALSE)</f>
        <v>SUPORTE ADMINISTRATIVO</v>
      </c>
      <c r="D621" s="35">
        <v>60</v>
      </c>
      <c r="E621" s="33" t="str">
        <f>VLOOKUP(D621,[1]apoio_Preços_MGS!$A$6:$F$238,6,FALSE)</f>
        <v>SUPORTE ADMINISTRATIVO - DIARISTA DIURNO - 44H</v>
      </c>
      <c r="F621" s="36">
        <f>IFERROR(VLOOKUP(D621,'[1]apoio_cód catmas'!$B$2:$C$863,2,FALSE),0)</f>
        <v>63339</v>
      </c>
      <c r="G621" s="33" t="str">
        <f>IF(H621="N/A",VLOOKUP(F621&amp;40,'[1]apoio_cód catmas'!$A$1:$G$233,4,FALSE),VLOOKUP(F621&amp;H621,'[1]apoio_cód catmas'!$A$1:$G$233,4,FALSE))</f>
        <v>SUPORTE ADMINISTRATIVO - 30H, 36H, 40H OU 44H</v>
      </c>
      <c r="H621" s="36">
        <v>44</v>
      </c>
      <c r="I621" s="37">
        <v>0.03</v>
      </c>
      <c r="J621" s="38" t="s">
        <v>46</v>
      </c>
      <c r="K621" s="39">
        <v>23</v>
      </c>
      <c r="L621" s="39">
        <f t="shared" si="307"/>
        <v>1380</v>
      </c>
      <c r="M621" s="40">
        <f>VLOOKUP(D621,[1]apoio_Preços_MGS!$A$6:$AN$238,18,FALSE)</f>
        <v>3052.3649856747788</v>
      </c>
      <c r="N621" s="40">
        <f>VLOOKUP(D621,[1]apoio_Preços_MGS!$A$6:$AN$238,19,FALSE)</f>
        <v>0</v>
      </c>
      <c r="O621" s="40">
        <f>VLOOKUP(D621,[1]apoio_Preços_MGS!$A$6:$AN$238,20,FALSE)</f>
        <v>0</v>
      </c>
      <c r="P621" s="40">
        <f>VLOOKUP(D621,[1]apoio_Preços_MGS!$A$6:$AN$238,21,FALSE)</f>
        <v>0</v>
      </c>
      <c r="Q621" s="40">
        <f>VLOOKUP(D621,[1]apoio_Preços_MGS!$A$6:$AN$238,22,FALSE)</f>
        <v>0</v>
      </c>
      <c r="R621" s="40">
        <f>VLOOKUP(D621,[1]apoio_Preços_MGS!$A$6:$AN$238,23,FALSE)</f>
        <v>0</v>
      </c>
      <c r="S621" s="40">
        <f>VLOOKUP(D621,[1]apoio_Preços_MGS!$A$6:$AN$238,24,FALSE)</f>
        <v>0</v>
      </c>
      <c r="T621" s="40">
        <f>VLOOKUP(D621,[1]apoio_Preços_MGS!$A$6:$AN$238,25,FALSE)</f>
        <v>0</v>
      </c>
      <c r="U621" s="40">
        <f t="shared" si="301"/>
        <v>3052.3649856747788</v>
      </c>
      <c r="V621" s="41">
        <f>VLOOKUP(D621,[1]apoio_Preços_MGS!$A$6:$AN$238,27,FALSE)</f>
        <v>0.81799999999999995</v>
      </c>
      <c r="W621" s="40">
        <f t="shared" si="302"/>
        <v>2496.8345582819688</v>
      </c>
      <c r="X621" s="40">
        <f>VLOOKUP(D621,[1]apoio_Preços_MGS!$A$6:$AN$238,29,FALSE)</f>
        <v>0</v>
      </c>
      <c r="Y621" s="40">
        <f>VLOOKUP(D621,[1]apoio_Preços_MGS!$A$6:$AN$238,30,FALSE)</f>
        <v>6.5772863955289598E-2</v>
      </c>
      <c r="Z621" s="40">
        <f t="shared" si="312"/>
        <v>6.5772863955289598E-2</v>
      </c>
      <c r="AA621" s="40">
        <f>VLOOKUP(D621,[1]apoio_Preços_MGS!$A$6:$AN$238,32,FALSE)</f>
        <v>5.8605407724955745</v>
      </c>
      <c r="AB621" s="40">
        <f>VLOOKUP(D621,[1]apoio_Preços_MGS!$A$6:$AN$238,33,FALSE)</f>
        <v>157.48825098563077</v>
      </c>
      <c r="AC621" s="41">
        <f>VLOOKUP(D621,[1]apoio_Preços_MGS!$A$6:$AN$238,34,FALSE)</f>
        <v>0</v>
      </c>
      <c r="AD621" s="40">
        <f>(U621+W621+Z621+AB621+AA621+VLOOKUP(C621,[1]apoio_Prec_Folha!$A:$S,7,FALSE))*AC621</f>
        <v>0</v>
      </c>
      <c r="AE621" s="42">
        <f>VLOOKUP(D621,[1]apoio_Preços_MGS!$A$6:$AN$238,36,FALSE)</f>
        <v>7.0000000000000007E-2</v>
      </c>
      <c r="AF621" s="40">
        <f>(U621+W621+Z621+AB621+AD621+AA621+VLOOKUP(C621,[1]apoio_Prec_Folha!$A:$S,7,FALSE))*AE621</f>
        <v>438.29937303319525</v>
      </c>
      <c r="AG621" s="40">
        <f t="shared" si="313"/>
        <v>6150.91</v>
      </c>
      <c r="AH621" s="43">
        <f t="shared" si="314"/>
        <v>7009.57</v>
      </c>
      <c r="AI621" s="43">
        <f t="shared" si="315"/>
        <v>161220.10999999999</v>
      </c>
      <c r="AJ621" s="43">
        <f t="shared" si="316"/>
        <v>9673206.5999999996</v>
      </c>
      <c r="AK621" s="44">
        <f>VLOOKUP(D621,[1]apoio_Preços_MGS!$A$6:$AN$238,39,FALSE)</f>
        <v>200.00000000000003</v>
      </c>
      <c r="AL621" s="44">
        <f>IF(J621="demais municípios",VLOOKUP(D621,[1]apoio_Preços_MGS!$A$6:$AN$238,39,FALSE),0)</f>
        <v>200.00000000000003</v>
      </c>
      <c r="AM621" s="44">
        <v>0</v>
      </c>
      <c r="AN621" s="45">
        <f t="shared" si="323"/>
        <v>4600.0000000000009</v>
      </c>
      <c r="AO621" s="44">
        <f>VLOOKUP(D621,[1]apoio_Preços_MGS!$A$6:$AN$238,40,FALSE)</f>
        <v>548.79999999999995</v>
      </c>
      <c r="AP621" s="44">
        <f>IF(J621="demais municípios",VLOOKUP(D621,[1]apoio_Preços_MGS!$A$6:$AN$238,40,FALSE),0)</f>
        <v>548.79999999999995</v>
      </c>
      <c r="AQ621" s="44">
        <v>0</v>
      </c>
      <c r="AR621" s="45">
        <f t="shared" si="324"/>
        <v>12622.4</v>
      </c>
      <c r="AS621" s="45">
        <f t="shared" si="303"/>
        <v>17222.400000000001</v>
      </c>
      <c r="AT621" s="45">
        <f t="shared" si="306"/>
        <v>1033344.0000000001</v>
      </c>
      <c r="AU621" s="62"/>
      <c r="AV621" s="46"/>
      <c r="AW621" s="47"/>
      <c r="AX621" s="48"/>
      <c r="AY621" s="49"/>
      <c r="BA621" s="48"/>
    </row>
    <row r="622" spans="1:53" ht="19.5" customHeight="1" x14ac:dyDescent="0.25">
      <c r="A622" s="33" t="str">
        <f t="shared" si="304"/>
        <v>63339440,04</v>
      </c>
      <c r="B622" s="33" t="str">
        <f t="shared" si="305"/>
        <v>600,04</v>
      </c>
      <c r="C622" s="34" t="str">
        <f>VLOOKUP(D622,[1]apoio_Preços_MGS!$A$6:$B$238,2,FALSE)</f>
        <v>SUPORTE ADMINISTRATIVO</v>
      </c>
      <c r="D622" s="35">
        <v>60</v>
      </c>
      <c r="E622" s="33" t="str">
        <f>VLOOKUP(D622,[1]apoio_Preços_MGS!$A$6:$F$238,6,FALSE)</f>
        <v>SUPORTE ADMINISTRATIVO - DIARISTA DIURNO - 44H</v>
      </c>
      <c r="F622" s="36">
        <f>IFERROR(VLOOKUP(D622,'[1]apoio_cód catmas'!$B$2:$C$863,2,FALSE),0)</f>
        <v>63339</v>
      </c>
      <c r="G622" s="33" t="str">
        <f>IF(H622="N/A",VLOOKUP(F622&amp;40,'[1]apoio_cód catmas'!$A$1:$G$233,4,FALSE),VLOOKUP(F622&amp;H622,'[1]apoio_cód catmas'!$A$1:$G$233,4,FALSE))</f>
        <v>SUPORTE ADMINISTRATIVO - 30H, 36H, 40H OU 44H</v>
      </c>
      <c r="H622" s="36">
        <v>44</v>
      </c>
      <c r="I622" s="37">
        <v>0.04</v>
      </c>
      <c r="J622" s="38" t="s">
        <v>46</v>
      </c>
      <c r="K622" s="39">
        <v>1</v>
      </c>
      <c r="L622" s="39">
        <f>K622*56</f>
        <v>56</v>
      </c>
      <c r="M622" s="40">
        <f>VLOOKUP(D622,[1]apoio_Preços_MGS!$A$6:$AN$238,18,FALSE)</f>
        <v>3052.3649856747788</v>
      </c>
      <c r="N622" s="40">
        <f>VLOOKUP(D622,[1]apoio_Preços_MGS!$A$6:$AN$238,19,FALSE)</f>
        <v>0</v>
      </c>
      <c r="O622" s="40">
        <f>VLOOKUP(D622,[1]apoio_Preços_MGS!$A$6:$AN$238,20,FALSE)</f>
        <v>0</v>
      </c>
      <c r="P622" s="40">
        <f>VLOOKUP(D622,[1]apoio_Preços_MGS!$A$6:$AN$238,21,FALSE)</f>
        <v>0</v>
      </c>
      <c r="Q622" s="40">
        <f>VLOOKUP(D622,[1]apoio_Preços_MGS!$A$6:$AN$238,22,FALSE)</f>
        <v>0</v>
      </c>
      <c r="R622" s="40">
        <f>VLOOKUP(D622,[1]apoio_Preços_MGS!$A$6:$AN$238,23,FALSE)</f>
        <v>0</v>
      </c>
      <c r="S622" s="40">
        <f>VLOOKUP(D622,[1]apoio_Preços_MGS!$A$6:$AN$238,24,FALSE)</f>
        <v>0</v>
      </c>
      <c r="T622" s="40">
        <f>VLOOKUP(D622,[1]apoio_Preços_MGS!$A$6:$AN$238,25,FALSE)</f>
        <v>0</v>
      </c>
      <c r="U622" s="40">
        <f t="shared" si="301"/>
        <v>3052.3649856747788</v>
      </c>
      <c r="V622" s="41">
        <f>VLOOKUP(D622,[1]apoio_Preços_MGS!$A$6:$AN$238,27,FALSE)</f>
        <v>0.81799999999999995</v>
      </c>
      <c r="W622" s="40">
        <f t="shared" si="302"/>
        <v>2496.8345582819688</v>
      </c>
      <c r="X622" s="40">
        <f>VLOOKUP(D622,[1]apoio_Preços_MGS!$A$6:$AN$238,29,FALSE)</f>
        <v>0</v>
      </c>
      <c r="Y622" s="40">
        <f>VLOOKUP(D622,[1]apoio_Preços_MGS!$A$6:$AN$238,30,FALSE)</f>
        <v>6.5772863955289598E-2</v>
      </c>
      <c r="Z622" s="40">
        <f t="shared" si="312"/>
        <v>6.5772863955289598E-2</v>
      </c>
      <c r="AA622" s="40">
        <f>VLOOKUP(D622,[1]apoio_Preços_MGS!$A$6:$AN$238,32,FALSE)</f>
        <v>5.8605407724955745</v>
      </c>
      <c r="AB622" s="40">
        <f>VLOOKUP(D622,[1]apoio_Preços_MGS!$A$6:$AN$238,33,FALSE)</f>
        <v>157.48825098563077</v>
      </c>
      <c r="AC622" s="41">
        <f>VLOOKUP(D622,[1]apoio_Preços_MGS!$A$6:$AN$238,34,FALSE)</f>
        <v>0</v>
      </c>
      <c r="AD622" s="40">
        <f>(U622+W622+Z622+AB622+AA622+VLOOKUP(C622,[1]apoio_Prec_Folha!$A:$S,7,FALSE))*AC622</f>
        <v>0</v>
      </c>
      <c r="AE622" s="42">
        <f>VLOOKUP(D622,[1]apoio_Preços_MGS!$A$6:$AN$238,36,FALSE)</f>
        <v>7.0000000000000007E-2</v>
      </c>
      <c r="AF622" s="40">
        <f>(U622+W622+Z622+AB622+AD622+AA622+VLOOKUP(C622,[1]apoio_Prec_Folha!$A:$S,7,FALSE))*AE622</f>
        <v>438.29937303319525</v>
      </c>
      <c r="AG622" s="40">
        <f t="shared" si="313"/>
        <v>6150.91</v>
      </c>
      <c r="AH622" s="43">
        <f t="shared" si="314"/>
        <v>7090.39</v>
      </c>
      <c r="AI622" s="43">
        <f t="shared" si="315"/>
        <v>7090.39</v>
      </c>
      <c r="AJ622" s="43">
        <f t="shared" si="316"/>
        <v>397061.84</v>
      </c>
      <c r="AK622" s="44">
        <f>VLOOKUP(D622,[1]apoio_Preços_MGS!$A$6:$AN$238,39,FALSE)</f>
        <v>200.00000000000003</v>
      </c>
      <c r="AL622" s="44">
        <f>IF(J622="demais municípios",VLOOKUP(D622,[1]apoio_Preços_MGS!$A$6:$AN$238,39,FALSE),0)</f>
        <v>200.00000000000003</v>
      </c>
      <c r="AM622" s="44">
        <v>0</v>
      </c>
      <c r="AN622" s="45">
        <f t="shared" si="323"/>
        <v>200.00000000000003</v>
      </c>
      <c r="AO622" s="44">
        <f>VLOOKUP(D622,[1]apoio_Preços_MGS!$A$6:$AN$238,40,FALSE)</f>
        <v>548.79999999999995</v>
      </c>
      <c r="AP622" s="44">
        <f>IF(J622="demais municípios",VLOOKUP(D622,[1]apoio_Preços_MGS!$A$6:$AN$238,40,FALSE),0)</f>
        <v>548.79999999999995</v>
      </c>
      <c r="AQ622" s="44">
        <v>0</v>
      </c>
      <c r="AR622" s="45">
        <f t="shared" si="324"/>
        <v>548.79999999999995</v>
      </c>
      <c r="AS622" s="45">
        <f t="shared" si="303"/>
        <v>748.8</v>
      </c>
      <c r="AT622" s="45">
        <f t="shared" si="306"/>
        <v>44928</v>
      </c>
      <c r="AU622" s="62"/>
      <c r="AV622" s="46"/>
      <c r="AW622" s="47"/>
      <c r="AX622" s="48"/>
      <c r="AY622" s="49"/>
      <c r="BA622" s="48"/>
    </row>
    <row r="623" spans="1:53" ht="19.5" customHeight="1" x14ac:dyDescent="0.25">
      <c r="A623" s="33" t="str">
        <f t="shared" si="304"/>
        <v>63339440,05</v>
      </c>
      <c r="B623" s="33" t="str">
        <f t="shared" si="305"/>
        <v>600,05</v>
      </c>
      <c r="C623" s="34" t="str">
        <f>VLOOKUP(D623,[1]apoio_Preços_MGS!$A$6:$B$238,2,FALSE)</f>
        <v>SUPORTE ADMINISTRATIVO</v>
      </c>
      <c r="D623" s="35">
        <v>60</v>
      </c>
      <c r="E623" s="33" t="str">
        <f>VLOOKUP(D623,[1]apoio_Preços_MGS!$A$6:$F$238,6,FALSE)</f>
        <v>SUPORTE ADMINISTRATIVO - DIARISTA DIURNO - 44H</v>
      </c>
      <c r="F623" s="36">
        <f>IFERROR(VLOOKUP(D623,'[1]apoio_cód catmas'!$B$2:$C$863,2,FALSE),0)</f>
        <v>63339</v>
      </c>
      <c r="G623" s="33" t="str">
        <f>IF(H623="N/A",VLOOKUP(F623&amp;40,'[1]apoio_cód catmas'!$A$1:$G$233,4,FALSE),VLOOKUP(F623&amp;H623,'[1]apoio_cód catmas'!$A$1:$G$233,4,FALSE))</f>
        <v>SUPORTE ADMINISTRATIVO - 30H, 36H, 40H OU 44H</v>
      </c>
      <c r="H623" s="36">
        <v>44</v>
      </c>
      <c r="I623" s="37">
        <v>0.05</v>
      </c>
      <c r="J623" s="38" t="s">
        <v>46</v>
      </c>
      <c r="K623" s="39">
        <f>124-K624</f>
        <v>2</v>
      </c>
      <c r="L623" s="39">
        <f t="shared" si="307"/>
        <v>120</v>
      </c>
      <c r="M623" s="40">
        <f>VLOOKUP(D623,[1]apoio_Preços_MGS!$A$6:$AN$238,18,FALSE)</f>
        <v>3052.3649856747788</v>
      </c>
      <c r="N623" s="40">
        <f>VLOOKUP(D623,[1]apoio_Preços_MGS!$A$6:$AN$238,19,FALSE)</f>
        <v>0</v>
      </c>
      <c r="O623" s="40">
        <f>VLOOKUP(D623,[1]apoio_Preços_MGS!$A$6:$AN$238,20,FALSE)</f>
        <v>0</v>
      </c>
      <c r="P623" s="40">
        <f>VLOOKUP(D623,[1]apoio_Preços_MGS!$A$6:$AN$238,21,FALSE)</f>
        <v>0</v>
      </c>
      <c r="Q623" s="40">
        <f>VLOOKUP(D623,[1]apoio_Preços_MGS!$A$6:$AN$238,22,FALSE)</f>
        <v>0</v>
      </c>
      <c r="R623" s="40">
        <f>VLOOKUP(D623,[1]apoio_Preços_MGS!$A$6:$AN$238,23,FALSE)</f>
        <v>0</v>
      </c>
      <c r="S623" s="40">
        <f>VLOOKUP(D623,[1]apoio_Preços_MGS!$A$6:$AN$238,24,FALSE)</f>
        <v>0</v>
      </c>
      <c r="T623" s="40">
        <f>VLOOKUP(D623,[1]apoio_Preços_MGS!$A$6:$AN$238,25,FALSE)</f>
        <v>0</v>
      </c>
      <c r="U623" s="40">
        <f t="shared" si="301"/>
        <v>3052.3649856747788</v>
      </c>
      <c r="V623" s="41">
        <f>VLOOKUP(D623,[1]apoio_Preços_MGS!$A$6:$AN$238,27,FALSE)</f>
        <v>0.81799999999999995</v>
      </c>
      <c r="W623" s="40">
        <f t="shared" si="302"/>
        <v>2496.8345582819688</v>
      </c>
      <c r="X623" s="40">
        <f>VLOOKUP(D623,[1]apoio_Preços_MGS!$A$6:$AN$238,29,FALSE)</f>
        <v>0</v>
      </c>
      <c r="Y623" s="40">
        <f>VLOOKUP(D623,[1]apoio_Preços_MGS!$A$6:$AN$238,30,FALSE)</f>
        <v>6.5772863955289598E-2</v>
      </c>
      <c r="Z623" s="40">
        <f t="shared" si="312"/>
        <v>6.5772863955289598E-2</v>
      </c>
      <c r="AA623" s="40">
        <f>VLOOKUP(D623,[1]apoio_Preços_MGS!$A$6:$AN$238,32,FALSE)</f>
        <v>5.8605407724955745</v>
      </c>
      <c r="AB623" s="40">
        <f>VLOOKUP(D623,[1]apoio_Preços_MGS!$A$6:$AN$238,33,FALSE)</f>
        <v>157.48825098563077</v>
      </c>
      <c r="AC623" s="41">
        <f>VLOOKUP(D623,[1]apoio_Preços_MGS!$A$6:$AN$238,34,FALSE)</f>
        <v>0</v>
      </c>
      <c r="AD623" s="40">
        <f>(U623+W623+Z623+AB623+AA623+VLOOKUP(C623,[1]apoio_Prec_Folha!$A:$S,7,FALSE))*AC623</f>
        <v>0</v>
      </c>
      <c r="AE623" s="42">
        <f>VLOOKUP(D623,[1]apoio_Preços_MGS!$A$6:$AN$238,36,FALSE)</f>
        <v>7.0000000000000007E-2</v>
      </c>
      <c r="AF623" s="40">
        <f>(U623+W623+Z623+AB623+AD623+AA623+VLOOKUP(C623,[1]apoio_Prec_Folha!$A:$S,7,FALSE))*AE623</f>
        <v>438.29937303319525</v>
      </c>
      <c r="AG623" s="40">
        <f t="shared" si="313"/>
        <v>6150.91</v>
      </c>
      <c r="AH623" s="43">
        <f t="shared" si="314"/>
        <v>7173.06</v>
      </c>
      <c r="AI623" s="43">
        <f t="shared" si="315"/>
        <v>14346.12</v>
      </c>
      <c r="AJ623" s="43">
        <f t="shared" si="316"/>
        <v>860767.20000000007</v>
      </c>
      <c r="AK623" s="44">
        <f>VLOOKUP(D623,[1]apoio_Preços_MGS!$A$6:$AN$238,39,FALSE)</f>
        <v>200.00000000000003</v>
      </c>
      <c r="AL623" s="44">
        <f>IF(J623="demais municípios",VLOOKUP(D623,[1]apoio_Preços_MGS!$A$6:$AN$238,39,FALSE),0)</f>
        <v>200.00000000000003</v>
      </c>
      <c r="AM623" s="44">
        <v>0</v>
      </c>
      <c r="AN623" s="45">
        <f t="shared" si="323"/>
        <v>400.00000000000006</v>
      </c>
      <c r="AO623" s="44">
        <f>VLOOKUP(D623,[1]apoio_Preços_MGS!$A$6:$AN$238,40,FALSE)</f>
        <v>548.79999999999995</v>
      </c>
      <c r="AP623" s="44">
        <f>IF(J623="demais municípios",VLOOKUP(D623,[1]apoio_Preços_MGS!$A$6:$AN$238,40,FALSE),0)</f>
        <v>548.79999999999995</v>
      </c>
      <c r="AQ623" s="44">
        <v>0</v>
      </c>
      <c r="AR623" s="45">
        <f t="shared" si="324"/>
        <v>1097.5999999999999</v>
      </c>
      <c r="AS623" s="45">
        <f t="shared" si="303"/>
        <v>1497.6</v>
      </c>
      <c r="AT623" s="45">
        <f t="shared" si="306"/>
        <v>89856</v>
      </c>
      <c r="AU623" s="62"/>
      <c r="AV623" s="46"/>
      <c r="AW623" s="47"/>
      <c r="AX623" s="48"/>
      <c r="AY623" s="49"/>
      <c r="BA623" s="48"/>
    </row>
    <row r="624" spans="1:53" ht="19.5" customHeight="1" x14ac:dyDescent="0.25">
      <c r="A624" s="33" t="str">
        <f t="shared" si="304"/>
        <v>63339440,05</v>
      </c>
      <c r="B624" s="33" t="str">
        <f t="shared" si="305"/>
        <v>600,05</v>
      </c>
      <c r="C624" s="34" t="str">
        <f>VLOOKUP(D624,[1]apoio_Preços_MGS!$A$6:$B$238,2,FALSE)</f>
        <v>SUPORTE ADMINISTRATIVO</v>
      </c>
      <c r="D624" s="35">
        <v>60</v>
      </c>
      <c r="E624" s="33" t="str">
        <f>VLOOKUP(D624,[1]apoio_Preços_MGS!$A$6:$F$238,6,FALSE)</f>
        <v>SUPORTE ADMINISTRATIVO - DIARISTA DIURNO - 44H</v>
      </c>
      <c r="F624" s="36">
        <f>IFERROR(VLOOKUP(D624,'[1]apoio_cód catmas'!$B$2:$C$863,2,FALSE),0)</f>
        <v>63339</v>
      </c>
      <c r="G624" s="33" t="str">
        <f>IF(H624="N/A",VLOOKUP(F624&amp;40,'[1]apoio_cód catmas'!$A$1:$G$233,4,FALSE),VLOOKUP(F624&amp;H624,'[1]apoio_cód catmas'!$A$1:$G$233,4,FALSE))</f>
        <v>SUPORTE ADMINISTRATIVO - 30H, 36H, 40H OU 44H</v>
      </c>
      <c r="H624" s="36">
        <v>44</v>
      </c>
      <c r="I624" s="37">
        <v>0.05</v>
      </c>
      <c r="J624" s="38" t="s">
        <v>47</v>
      </c>
      <c r="K624" s="39">
        <v>122</v>
      </c>
      <c r="L624" s="39">
        <f t="shared" si="307"/>
        <v>7320</v>
      </c>
      <c r="M624" s="40">
        <f>VLOOKUP(D624,[1]apoio_Preços_MGS!$A$6:$AN$238,18,FALSE)</f>
        <v>3052.3649856747788</v>
      </c>
      <c r="N624" s="40">
        <f>VLOOKUP(D624,[1]apoio_Preços_MGS!$A$6:$AN$238,19,FALSE)</f>
        <v>0</v>
      </c>
      <c r="O624" s="40">
        <f>VLOOKUP(D624,[1]apoio_Preços_MGS!$A$6:$AN$238,20,FALSE)</f>
        <v>0</v>
      </c>
      <c r="P624" s="40">
        <f>VLOOKUP(D624,[1]apoio_Preços_MGS!$A$6:$AN$238,21,FALSE)</f>
        <v>0</v>
      </c>
      <c r="Q624" s="40">
        <f>VLOOKUP(D624,[1]apoio_Preços_MGS!$A$6:$AN$238,22,FALSE)</f>
        <v>0</v>
      </c>
      <c r="R624" s="40">
        <f>VLOOKUP(D624,[1]apoio_Preços_MGS!$A$6:$AN$238,23,FALSE)</f>
        <v>0</v>
      </c>
      <c r="S624" s="40">
        <f>VLOOKUP(D624,[1]apoio_Preços_MGS!$A$6:$AN$238,24,FALSE)</f>
        <v>0</v>
      </c>
      <c r="T624" s="40">
        <f>VLOOKUP(D624,[1]apoio_Preços_MGS!$A$6:$AN$238,25,FALSE)</f>
        <v>0</v>
      </c>
      <c r="U624" s="40">
        <f t="shared" si="301"/>
        <v>3052.3649856747788</v>
      </c>
      <c r="V624" s="41">
        <f>VLOOKUP(D624,[1]apoio_Preços_MGS!$A$6:$AN$238,27,FALSE)</f>
        <v>0.81799999999999995</v>
      </c>
      <c r="W624" s="40">
        <f t="shared" si="302"/>
        <v>2496.8345582819688</v>
      </c>
      <c r="X624" s="40">
        <f>VLOOKUP(D624,[1]apoio_Preços_MGS!$A$6:$AN$238,29,FALSE)</f>
        <v>0</v>
      </c>
      <c r="Y624" s="40">
        <f>VLOOKUP(D624,[1]apoio_Preços_MGS!$A$6:$AN$238,30,FALSE)</f>
        <v>6.5772863955289598E-2</v>
      </c>
      <c r="Z624" s="40">
        <f t="shared" si="312"/>
        <v>6.5772863955289598E-2</v>
      </c>
      <c r="AA624" s="40">
        <f>VLOOKUP(D624,[1]apoio_Preços_MGS!$A$6:$AN$238,32,FALSE)</f>
        <v>5.8605407724955745</v>
      </c>
      <c r="AB624" s="40">
        <f>VLOOKUP(D624,[1]apoio_Preços_MGS!$A$6:$AN$238,33,FALSE)</f>
        <v>157.48825098563077</v>
      </c>
      <c r="AC624" s="41">
        <f>VLOOKUP(D624,[1]apoio_Preços_MGS!$A$6:$AN$238,34,FALSE)</f>
        <v>0</v>
      </c>
      <c r="AD624" s="40">
        <f>(U624+W624+Z624+AB624+AA624+VLOOKUP(C624,[1]apoio_Prec_Folha!$A:$S,7,FALSE))*AC624</f>
        <v>0</v>
      </c>
      <c r="AE624" s="42">
        <f>VLOOKUP(D624,[1]apoio_Preços_MGS!$A$6:$AN$238,36,FALSE)</f>
        <v>7.0000000000000007E-2</v>
      </c>
      <c r="AF624" s="40">
        <f>(U624+W624+Z624+AB624+AD624+AA624+VLOOKUP(C624,[1]apoio_Prec_Folha!$A:$S,7,FALSE))*AE624</f>
        <v>438.29937303319525</v>
      </c>
      <c r="AG624" s="40">
        <f t="shared" si="313"/>
        <v>6150.91</v>
      </c>
      <c r="AH624" s="43">
        <f t="shared" si="314"/>
        <v>7173.06</v>
      </c>
      <c r="AI624" s="43">
        <f t="shared" si="315"/>
        <v>875113.32000000007</v>
      </c>
      <c r="AJ624" s="43">
        <f t="shared" si="316"/>
        <v>52506799.200000003</v>
      </c>
      <c r="AK624" s="44">
        <f>VLOOKUP(D624,[1]apoio_Preços_MGS!$A$6:$AN$238,39,FALSE)</f>
        <v>200.00000000000003</v>
      </c>
      <c r="AL624" s="44">
        <f>IF(J624="demais municípios",VLOOKUP(D624,[1]apoio_Preços_MGS!$A$6:$AN$238,39,FALSE),0)</f>
        <v>0</v>
      </c>
      <c r="AM624" s="44">
        <f>TRUNC(ROUND(($I624)/(1-($I624)),5)*VLOOKUP(D624,[1]apoio_Preços_MGS!$A$6:$AN$238,39,FALSE)+VLOOKUP(D624,[1]apoio_Preços_MGS!$A$6:$AN$238,39,FALSE),2)</f>
        <v>210.52</v>
      </c>
      <c r="AN624" s="45">
        <f t="shared" si="308"/>
        <v>25683.440000000002</v>
      </c>
      <c r="AO624" s="44">
        <f>VLOOKUP(D624,[1]apoio_Preços_MGS!$A$6:$AN$238,40,FALSE)</f>
        <v>548.79999999999995</v>
      </c>
      <c r="AP624" s="44">
        <f>IF(J624="demais municípios",VLOOKUP(D624,[1]apoio_Preços_MGS!$A$6:$AN$238,40,FALSE),0)</f>
        <v>0</v>
      </c>
      <c r="AQ624" s="44">
        <f>TRUNC(ROUND(($I624)/(1-($I624)),5)*VLOOKUP(D624,[1]apoio_Preços_MGS!$A$6:$AN$238,40,FALSE)+VLOOKUP(D624,[1]apoio_Preços_MGS!$A$6:$AN$238,40,FALSE),2)</f>
        <v>577.67999999999995</v>
      </c>
      <c r="AR624" s="45">
        <f t="shared" si="309"/>
        <v>70476.959999999992</v>
      </c>
      <c r="AS624" s="45">
        <f t="shared" si="303"/>
        <v>96160.4</v>
      </c>
      <c r="AT624" s="45">
        <f t="shared" si="306"/>
        <v>5769624</v>
      </c>
      <c r="AU624" s="62"/>
      <c r="AV624" s="46"/>
      <c r="AW624" s="47"/>
      <c r="AX624" s="48"/>
      <c r="AY624" s="49"/>
      <c r="BA624" s="48"/>
    </row>
    <row r="625" spans="1:53" ht="19.5" customHeight="1" x14ac:dyDescent="0.25">
      <c r="A625" s="33" t="str">
        <f t="shared" si="304"/>
        <v>105627440,05</v>
      </c>
      <c r="B625" s="33" t="str">
        <f t="shared" si="305"/>
        <v>11940,05</v>
      </c>
      <c r="C625" s="34" t="str">
        <f>VLOOKUP(D625,[1]apoio_Preços_MGS!$A$6:$B$238,2,FALSE)</f>
        <v>SUPORTE ADMINISTRATIVO</v>
      </c>
      <c r="D625" s="35">
        <v>1194</v>
      </c>
      <c r="E625" s="33" t="str">
        <f>VLOOKUP(D625,[1]apoio_Preços_MGS!$A$6:$F$238,6,FALSE)</f>
        <v>SUPORTE ADMINISTRATIVO (COM UNIF.) - 12x36 DIURNO - 44H</v>
      </c>
      <c r="F625" s="36">
        <f>IFERROR(VLOOKUP(D625,'[1]apoio_cód catmas'!$B$2:$C$863,2,FALSE),0)</f>
        <v>105627</v>
      </c>
      <c r="G625" s="33" t="str">
        <f>IF(H625="N/A",VLOOKUP(F625&amp;40,'[1]apoio_cód catmas'!$A$1:$G$233,4,FALSE),VLOOKUP(F625&amp;H625,'[1]apoio_cód catmas'!$A$1:$G$233,4,FALSE))</f>
        <v>SUPORTE ADMINISTRATIVO COM UNIFORME - 12x36 DIURNO - 44H</v>
      </c>
      <c r="H625" s="36">
        <v>44</v>
      </c>
      <c r="I625" s="37">
        <v>0.05</v>
      </c>
      <c r="J625" s="38" t="s">
        <v>47</v>
      </c>
      <c r="K625" s="39">
        <v>152</v>
      </c>
      <c r="L625" s="39">
        <f t="shared" si="307"/>
        <v>9120</v>
      </c>
      <c r="M625" s="40">
        <f>VLOOKUP(D625,[1]apoio_Preços_MGS!$A$6:$AN$238,18,FALSE)</f>
        <v>3052.3649856747788</v>
      </c>
      <c r="N625" s="40">
        <f>VLOOKUP(D625,[1]apoio_Preços_MGS!$A$6:$AN$238,19,FALSE)</f>
        <v>0</v>
      </c>
      <c r="O625" s="40">
        <f>VLOOKUP(D625,[1]apoio_Preços_MGS!$A$6:$AN$238,20,FALSE)</f>
        <v>0</v>
      </c>
      <c r="P625" s="40">
        <f>VLOOKUP(D625,[1]apoio_Preços_MGS!$A$6:$AN$238,21,FALSE)</f>
        <v>0</v>
      </c>
      <c r="Q625" s="40">
        <f>VLOOKUP(D625,[1]apoio_Preços_MGS!$A$6:$AN$238,22,FALSE)</f>
        <v>0</v>
      </c>
      <c r="R625" s="40">
        <f>VLOOKUP(D625,[1]apoio_Preços_MGS!$A$6:$AN$238,23,FALSE)</f>
        <v>0</v>
      </c>
      <c r="S625" s="40">
        <f>VLOOKUP(D625,[1]apoio_Preços_MGS!$A$6:$AN$238,24,FALSE)</f>
        <v>0</v>
      </c>
      <c r="T625" s="40">
        <f>VLOOKUP(D625,[1]apoio_Preços_MGS!$A$6:$AN$238,25,FALSE)</f>
        <v>4.2393958134371923</v>
      </c>
      <c r="U625" s="40">
        <f t="shared" si="301"/>
        <v>3056.6043814882159</v>
      </c>
      <c r="V625" s="41">
        <f>VLOOKUP(D625,[1]apoio_Preços_MGS!$A$6:$AN$238,27,FALSE)</f>
        <v>0.81799999999999995</v>
      </c>
      <c r="W625" s="40">
        <f t="shared" si="302"/>
        <v>2500.3023840573605</v>
      </c>
      <c r="X625" s="40">
        <f>VLOOKUP(D625,[1]apoio_Preços_MGS!$A$6:$AN$238,29,FALSE)</f>
        <v>33.509646464646472</v>
      </c>
      <c r="Y625" s="40">
        <f>VLOOKUP(D625,[1]apoio_Preços_MGS!$A$6:$AN$238,30,FALSE)</f>
        <v>6.5772863955289598E-2</v>
      </c>
      <c r="Z625" s="40">
        <f t="shared" si="312"/>
        <v>33.575419328601761</v>
      </c>
      <c r="AA625" s="40">
        <f>VLOOKUP(D625,[1]apoio_Preços_MGS!$A$6:$AN$238,32,FALSE)</f>
        <v>5.8605407724955745</v>
      </c>
      <c r="AB625" s="40">
        <f>VLOOKUP(D625,[1]apoio_Preços_MGS!$A$6:$AN$238,33,FALSE)</f>
        <v>157.48825098563077</v>
      </c>
      <c r="AC625" s="41">
        <f>VLOOKUP(D625,[1]apoio_Preços_MGS!$A$6:$AN$238,34,FALSE)</f>
        <v>0</v>
      </c>
      <c r="AD625" s="40">
        <f>(U625+W625+Z625+AB625+AA625+VLOOKUP(C625,[1]apoio_Prec_Folha!$A:$S,7,FALSE))*AC625</f>
        <v>0</v>
      </c>
      <c r="AE625" s="42">
        <f>VLOOKUP(D625,[1]apoio_Preços_MGS!$A$6:$AN$238,36,FALSE)</f>
        <v>7.0000000000000007E-2</v>
      </c>
      <c r="AF625" s="40">
        <f>(U625+W625+Z625+AB625+AD625+AA625+VLOOKUP(C625,[1]apoio_Prec_Folha!$A:$S,7,FALSE))*AE625</f>
        <v>441.18455379693853</v>
      </c>
      <c r="AG625" s="40">
        <f t="shared" si="313"/>
        <v>6195.01</v>
      </c>
      <c r="AH625" s="43">
        <f t="shared" si="314"/>
        <v>7224.49</v>
      </c>
      <c r="AI625" s="43">
        <f t="shared" si="315"/>
        <v>1098122.48</v>
      </c>
      <c r="AJ625" s="43">
        <f t="shared" si="316"/>
        <v>65887348.799999997</v>
      </c>
      <c r="AK625" s="44">
        <f>VLOOKUP(D625,[1]apoio_Preços_MGS!$A$6:$AN$238,39,FALSE)</f>
        <v>200.00000000000003</v>
      </c>
      <c r="AL625" s="44">
        <f>IF(J625="demais municípios",VLOOKUP(D625,[1]apoio_Preços_MGS!$A$6:$AN$238,39,FALSE),0)</f>
        <v>0</v>
      </c>
      <c r="AM625" s="44">
        <f>TRUNC(ROUND(($I625)/(1-($I625)),5)*VLOOKUP(D625,[1]apoio_Preços_MGS!$A$6:$AN$238,39,FALSE)+VLOOKUP(D625,[1]apoio_Preços_MGS!$A$6:$AN$238,39,FALSE),2)</f>
        <v>210.52</v>
      </c>
      <c r="AN625" s="45">
        <f t="shared" si="308"/>
        <v>31999.040000000001</v>
      </c>
      <c r="AO625" s="44">
        <f>VLOOKUP(D625,[1]apoio_Preços_MGS!$A$6:$AN$238,40,FALSE)</f>
        <v>548.79999999999995</v>
      </c>
      <c r="AP625" s="44">
        <f>IF(J625="demais municípios",VLOOKUP(D625,[1]apoio_Preços_MGS!$A$6:$AN$238,40,FALSE),0)</f>
        <v>0</v>
      </c>
      <c r="AQ625" s="44">
        <f>TRUNC(ROUND(($I625)/(1-($I625)),5)*VLOOKUP(D625,[1]apoio_Preços_MGS!$A$6:$AN$238,40,FALSE)+VLOOKUP(D625,[1]apoio_Preços_MGS!$A$6:$AN$238,40,FALSE),2)</f>
        <v>577.67999999999995</v>
      </c>
      <c r="AR625" s="45">
        <f t="shared" si="309"/>
        <v>87807.359999999986</v>
      </c>
      <c r="AS625" s="45">
        <f t="shared" si="303"/>
        <v>119806.39999999999</v>
      </c>
      <c r="AT625" s="45">
        <f t="shared" si="306"/>
        <v>7188384</v>
      </c>
      <c r="AU625" s="62"/>
      <c r="AV625" s="46"/>
      <c r="AW625" s="47"/>
      <c r="AX625" s="48"/>
      <c r="AY625" s="49"/>
      <c r="BA625" s="48"/>
    </row>
    <row r="626" spans="1:53" ht="19.5" customHeight="1" x14ac:dyDescent="0.25">
      <c r="A626" s="33" t="str">
        <f t="shared" si="304"/>
        <v>105635440,05</v>
      </c>
      <c r="B626" s="33" t="str">
        <f t="shared" si="305"/>
        <v>11950,05</v>
      </c>
      <c r="C626" s="34" t="str">
        <f>VLOOKUP(D626,[1]apoio_Preços_MGS!$A$6:$B$238,2,FALSE)</f>
        <v>SUPORTE ADMINISTRATIVO</v>
      </c>
      <c r="D626" s="35">
        <v>1195</v>
      </c>
      <c r="E626" s="33" t="str">
        <f>VLOOKUP(D626,[1]apoio_Preços_MGS!$A$6:$F$238,6,FALSE)</f>
        <v>SUPORTE ADMINISTRATIVO (COM UNIF.) - 12x36 NOTURNO - 44H</v>
      </c>
      <c r="F626" s="36">
        <f>IFERROR(VLOOKUP(D626,'[1]apoio_cód catmas'!$B$2:$C$863,2,FALSE),0)</f>
        <v>105635</v>
      </c>
      <c r="G626" s="33" t="str">
        <f>IF(H626="N/A",VLOOKUP(F626&amp;40,'[1]apoio_cód catmas'!$A$1:$G$233,4,FALSE),VLOOKUP(F626&amp;H626,'[1]apoio_cód catmas'!$A$1:$G$233,4,FALSE))</f>
        <v>SUPORTE ADMINISTRATIVO COM UNIFORME - 12x36 NOTURNO - 44H</v>
      </c>
      <c r="H626" s="36">
        <v>44</v>
      </c>
      <c r="I626" s="37">
        <v>0.05</v>
      </c>
      <c r="J626" s="38" t="s">
        <v>47</v>
      </c>
      <c r="K626" s="39">
        <v>64</v>
      </c>
      <c r="L626" s="39">
        <f t="shared" si="307"/>
        <v>3840</v>
      </c>
      <c r="M626" s="40">
        <f>VLOOKUP(D626,[1]apoio_Preços_MGS!$A$6:$AN$238,18,FALSE)</f>
        <v>3052.3649856747788</v>
      </c>
      <c r="N626" s="40">
        <f>VLOOKUP(D626,[1]apoio_Preços_MGS!$A$6:$AN$238,19,FALSE)</f>
        <v>0</v>
      </c>
      <c r="O626" s="40">
        <f>VLOOKUP(D626,[1]apoio_Preços_MGS!$A$6:$AN$238,20,FALSE)</f>
        <v>711.07729292823535</v>
      </c>
      <c r="P626" s="40">
        <f>VLOOKUP(D626,[1]apoio_Preços_MGS!$A$6:$AN$238,21,FALSE)</f>
        <v>15.521725601954174</v>
      </c>
      <c r="Q626" s="40">
        <f>VLOOKUP(D626,[1]apoio_Preços_MGS!$A$6:$AN$238,22,FALSE)</f>
        <v>58.206453545386843</v>
      </c>
      <c r="R626" s="40">
        <f>VLOOKUP(D626,[1]apoio_Preços_MGS!$A$6:$AN$238,23,FALSE)</f>
        <v>0</v>
      </c>
      <c r="S626" s="40">
        <f>VLOOKUP(D626,[1]apoio_Preços_MGS!$A$6:$AN$238,24,FALSE)</f>
        <v>0</v>
      </c>
      <c r="T626" s="40">
        <f>VLOOKUP(D626,[1]apoio_Preços_MGS!$A$6:$AN$238,25,FALSE)</f>
        <v>4.2393958134371923</v>
      </c>
      <c r="U626" s="40">
        <f t="shared" si="301"/>
        <v>3841.4098535637922</v>
      </c>
      <c r="V626" s="41">
        <f>VLOOKUP(D626,[1]apoio_Preços_MGS!$A$6:$AN$238,27,FALSE)</f>
        <v>0.81799999999999995</v>
      </c>
      <c r="W626" s="40">
        <f t="shared" si="302"/>
        <v>3142.2732602151818</v>
      </c>
      <c r="X626" s="40">
        <f>VLOOKUP(D626,[1]apoio_Preços_MGS!$A$6:$AN$238,29,FALSE)</f>
        <v>33.509646464646472</v>
      </c>
      <c r="Y626" s="40">
        <f>VLOOKUP(D626,[1]apoio_Preços_MGS!$A$6:$AN$238,30,FALSE)</f>
        <v>6.5772863955289598E-2</v>
      </c>
      <c r="Z626" s="40">
        <f t="shared" si="312"/>
        <v>33.575419328601761</v>
      </c>
      <c r="AA626" s="40">
        <f>VLOOKUP(D626,[1]apoio_Preços_MGS!$A$6:$AN$238,32,FALSE)</f>
        <v>5.8605407724955745</v>
      </c>
      <c r="AB626" s="40">
        <f>VLOOKUP(D626,[1]apoio_Preços_MGS!$A$6:$AN$238,33,FALSE)</f>
        <v>157.48825098563077</v>
      </c>
      <c r="AC626" s="41">
        <f>VLOOKUP(D626,[1]apoio_Preços_MGS!$A$6:$AN$238,34,FALSE)</f>
        <v>0</v>
      </c>
      <c r="AD626" s="40">
        <f>(U626+W626+Z626+AB626+AA626+VLOOKUP(C626,[1]apoio_Prec_Folha!$A:$S,7,FALSE))*AC626</f>
        <v>0</v>
      </c>
      <c r="AE626" s="42">
        <f>VLOOKUP(D626,[1]apoio_Preços_MGS!$A$6:$AN$238,36,FALSE)</f>
        <v>7.0000000000000007E-2</v>
      </c>
      <c r="AF626" s="40">
        <f>(U626+W626+Z626+AB626+AD626+AA626+VLOOKUP(C626,[1]apoio_Prec_Folha!$A:$S,7,FALSE))*AE626</f>
        <v>541.05889817327636</v>
      </c>
      <c r="AG626" s="40">
        <f t="shared" si="313"/>
        <v>7721.66</v>
      </c>
      <c r="AH626" s="43">
        <f t="shared" si="314"/>
        <v>9004.84</v>
      </c>
      <c r="AI626" s="43">
        <f t="shared" si="315"/>
        <v>576309.76000000001</v>
      </c>
      <c r="AJ626" s="43">
        <f t="shared" si="316"/>
        <v>34578585.600000001</v>
      </c>
      <c r="AK626" s="44">
        <f>VLOOKUP(D626,[1]apoio_Preços_MGS!$A$6:$AN$238,39,FALSE)</f>
        <v>200.00000000000003</v>
      </c>
      <c r="AL626" s="44">
        <f>IF(J626="demais municípios",VLOOKUP(D626,[1]apoio_Preços_MGS!$A$6:$AN$238,39,FALSE),0)</f>
        <v>0</v>
      </c>
      <c r="AM626" s="44">
        <f>TRUNC(ROUND(($I626)/(1-($I626)),5)*VLOOKUP(D626,[1]apoio_Preços_MGS!$A$6:$AN$238,39,FALSE)+VLOOKUP(D626,[1]apoio_Preços_MGS!$A$6:$AN$238,39,FALSE),2)</f>
        <v>210.52</v>
      </c>
      <c r="AN626" s="45">
        <f t="shared" si="308"/>
        <v>13473.28</v>
      </c>
      <c r="AO626" s="44">
        <f>VLOOKUP(D626,[1]apoio_Preços_MGS!$A$6:$AN$238,40,FALSE)</f>
        <v>548.79999999999995</v>
      </c>
      <c r="AP626" s="44">
        <f>IF(J626="demais municípios",VLOOKUP(D626,[1]apoio_Preços_MGS!$A$6:$AN$238,40,FALSE),0)</f>
        <v>0</v>
      </c>
      <c r="AQ626" s="44">
        <f>TRUNC(ROUND(($I626)/(1-($I626)),5)*VLOOKUP(D626,[1]apoio_Preços_MGS!$A$6:$AN$238,40,FALSE)+VLOOKUP(D626,[1]apoio_Preços_MGS!$A$6:$AN$238,40,FALSE),2)</f>
        <v>577.67999999999995</v>
      </c>
      <c r="AR626" s="45">
        <f t="shared" si="309"/>
        <v>36971.519999999997</v>
      </c>
      <c r="AS626" s="45">
        <f t="shared" si="303"/>
        <v>50444.799999999996</v>
      </c>
      <c r="AT626" s="45">
        <f t="shared" si="306"/>
        <v>3026687.9999999995</v>
      </c>
      <c r="AU626" s="62"/>
      <c r="AV626" s="46"/>
      <c r="AW626" s="47"/>
      <c r="AX626" s="48"/>
      <c r="AY626" s="49"/>
      <c r="BA626" s="48"/>
    </row>
    <row r="627" spans="1:53" ht="19.5" customHeight="1" x14ac:dyDescent="0.25">
      <c r="A627" s="33" t="str">
        <f t="shared" si="304"/>
        <v>105619300,03</v>
      </c>
      <c r="B627" s="33" t="str">
        <f t="shared" si="305"/>
        <v>11960,03</v>
      </c>
      <c r="C627" s="34" t="str">
        <f>VLOOKUP(D627,[1]apoio_Preços_MGS!$A$6:$B$238,2,FALSE)</f>
        <v>SUPORTE ADMINISTRATIVO</v>
      </c>
      <c r="D627" s="35">
        <v>1196</v>
      </c>
      <c r="E627" s="33" t="str">
        <f>VLOOKUP(D627,[1]apoio_Preços_MGS!$A$6:$F$238,6,FALSE)</f>
        <v>SUPORTE ADMINISTRATIVO (COM UNIF.) - DIARISTA DIURNO - 30H</v>
      </c>
      <c r="F627" s="36">
        <f>IFERROR(VLOOKUP(D627,'[1]apoio_cód catmas'!$B$2:$C$863,2,FALSE),0)</f>
        <v>105619</v>
      </c>
      <c r="G627" s="33" t="str">
        <f>IF(H627="N/A",VLOOKUP(F627&amp;40,'[1]apoio_cód catmas'!$A$1:$G$233,4,FALSE),VLOOKUP(F627&amp;H627,'[1]apoio_cód catmas'!$A$1:$G$233,4,FALSE))</f>
        <v>SUPORTE ADMINISTRATIVO COM UNIFORME - 30H, 36H, 40H OU 44H</v>
      </c>
      <c r="H627" s="36">
        <v>30</v>
      </c>
      <c r="I627" s="37">
        <v>0.03</v>
      </c>
      <c r="J627" s="38" t="s">
        <v>46</v>
      </c>
      <c r="K627" s="39">
        <v>4</v>
      </c>
      <c r="L627" s="39">
        <f t="shared" si="307"/>
        <v>240</v>
      </c>
      <c r="M627" s="40">
        <f>VLOOKUP(D627,[1]apoio_Preços_MGS!$A$6:$AN$238,18,FALSE)</f>
        <v>2081.1579447782583</v>
      </c>
      <c r="N627" s="40">
        <f>VLOOKUP(D627,[1]apoio_Preços_MGS!$A$6:$AN$238,19,FALSE)</f>
        <v>0</v>
      </c>
      <c r="O627" s="40">
        <f>VLOOKUP(D627,[1]apoio_Preços_MGS!$A$6:$AN$238,20,FALSE)</f>
        <v>0</v>
      </c>
      <c r="P627" s="40">
        <f>VLOOKUP(D627,[1]apoio_Preços_MGS!$A$6:$AN$238,21,FALSE)</f>
        <v>0</v>
      </c>
      <c r="Q627" s="40">
        <f>VLOOKUP(D627,[1]apoio_Preços_MGS!$A$6:$AN$238,22,FALSE)</f>
        <v>0</v>
      </c>
      <c r="R627" s="40">
        <f>VLOOKUP(D627,[1]apoio_Preços_MGS!$A$6:$AN$238,23,FALSE)</f>
        <v>0</v>
      </c>
      <c r="S627" s="40">
        <f>VLOOKUP(D627,[1]apoio_Preços_MGS!$A$6:$AN$238,24,FALSE)</f>
        <v>0</v>
      </c>
      <c r="T627" s="40">
        <f>VLOOKUP(D627,[1]apoio_Preços_MGS!$A$6:$AN$238,25,FALSE)</f>
        <v>0</v>
      </c>
      <c r="U627" s="40">
        <f t="shared" si="301"/>
        <v>2081.1579447782583</v>
      </c>
      <c r="V627" s="41">
        <f>VLOOKUP(D627,[1]apoio_Preços_MGS!$A$6:$AN$238,27,FALSE)</f>
        <v>0.81799999999999995</v>
      </c>
      <c r="W627" s="40">
        <f t="shared" si="302"/>
        <v>1702.3871988286153</v>
      </c>
      <c r="X627" s="40">
        <f>VLOOKUP(D627,[1]apoio_Preços_MGS!$A$6:$AN$238,29,FALSE)</f>
        <v>33.509646464646472</v>
      </c>
      <c r="Y627" s="40">
        <f>VLOOKUP(D627,[1]apoio_Preços_MGS!$A$6:$AN$238,30,FALSE)</f>
        <v>6.5772863955289598E-2</v>
      </c>
      <c r="Z627" s="40">
        <f t="shared" si="312"/>
        <v>33.575419328601761</v>
      </c>
      <c r="AA627" s="40">
        <f>VLOOKUP(D627,[1]apoio_Preços_MGS!$A$6:$AN$238,32,FALSE)</f>
        <v>3.9958232539742555</v>
      </c>
      <c r="AB627" s="40">
        <f>VLOOKUP(D627,[1]apoio_Preços_MGS!$A$6:$AN$238,33,FALSE)</f>
        <v>194.63476740272569</v>
      </c>
      <c r="AC627" s="41">
        <f>VLOOKUP(D627,[1]apoio_Preços_MGS!$A$6:$AN$238,34,FALSE)</f>
        <v>0</v>
      </c>
      <c r="AD627" s="40">
        <f>(U627+W627+Z627+AB627+AA627+VLOOKUP(C627,[1]apoio_Prec_Folha!$A:$S,7,FALSE))*AC627</f>
        <v>0</v>
      </c>
      <c r="AE627" s="42">
        <f>VLOOKUP(D627,[1]apoio_Preços_MGS!$A$6:$AN$238,36,FALSE)</f>
        <v>7.0000000000000007E-2</v>
      </c>
      <c r="AF627" s="40">
        <f>(U627+W627+Z627+AB627+AD627+AA627+VLOOKUP(C627,[1]apoio_Prec_Folha!$A:$S,7,FALSE))*AE627</f>
        <v>319.51896618412945</v>
      </c>
      <c r="AG627" s="40">
        <f t="shared" si="313"/>
        <v>4335.2700000000004</v>
      </c>
      <c r="AH627" s="43">
        <f t="shared" si="314"/>
        <v>4940.47</v>
      </c>
      <c r="AI627" s="43">
        <f t="shared" si="315"/>
        <v>19761.88</v>
      </c>
      <c r="AJ627" s="43">
        <f t="shared" si="316"/>
        <v>1185712.8</v>
      </c>
      <c r="AK627" s="44">
        <f>VLOOKUP(D627,[1]apoio_Preços_MGS!$A$6:$AN$238,39,FALSE)</f>
        <v>136.36363636363637</v>
      </c>
      <c r="AL627" s="44">
        <f>IF(J627="demais municípios",VLOOKUP(D627,[1]apoio_Preços_MGS!$A$6:$AN$238,39,FALSE),0)</f>
        <v>136.36363636363637</v>
      </c>
      <c r="AM627" s="44">
        <v>0</v>
      </c>
      <c r="AN627" s="45">
        <f>AK627*K627</f>
        <v>545.4545454545455</v>
      </c>
      <c r="AO627" s="44">
        <f>VLOOKUP(D627,[1]apoio_Preços_MGS!$A$6:$AN$238,40,FALSE)</f>
        <v>548.79999999999995</v>
      </c>
      <c r="AP627" s="44">
        <f>IF(J627="demais municípios",VLOOKUP(D627,[1]apoio_Preços_MGS!$A$6:$AN$238,40,FALSE),0)</f>
        <v>548.79999999999995</v>
      </c>
      <c r="AQ627" s="44">
        <v>0</v>
      </c>
      <c r="AR627" s="45">
        <f>AO627*K627</f>
        <v>2195.1999999999998</v>
      </c>
      <c r="AS627" s="45">
        <f t="shared" si="303"/>
        <v>2740.6545454545453</v>
      </c>
      <c r="AT627" s="45">
        <f t="shared" si="306"/>
        <v>164439.27272727271</v>
      </c>
      <c r="AU627" s="62"/>
      <c r="AV627" s="46"/>
      <c r="AW627" s="47"/>
      <c r="AX627" s="48"/>
      <c r="AY627" s="49"/>
      <c r="BA627" s="48"/>
    </row>
    <row r="628" spans="1:53" ht="19.5" customHeight="1" x14ac:dyDescent="0.25">
      <c r="A628" s="33" t="str">
        <f t="shared" si="304"/>
        <v>105619300,05</v>
      </c>
      <c r="B628" s="33" t="str">
        <f t="shared" si="305"/>
        <v>11960,05</v>
      </c>
      <c r="C628" s="34" t="str">
        <f>VLOOKUP(D628,[1]apoio_Preços_MGS!$A$6:$B$238,2,FALSE)</f>
        <v>SUPORTE ADMINISTRATIVO</v>
      </c>
      <c r="D628" s="35">
        <v>1196</v>
      </c>
      <c r="E628" s="33" t="str">
        <f>VLOOKUP(D628,[1]apoio_Preços_MGS!$A$6:$F$238,6,FALSE)</f>
        <v>SUPORTE ADMINISTRATIVO (COM UNIF.) - DIARISTA DIURNO - 30H</v>
      </c>
      <c r="F628" s="36">
        <f>IFERROR(VLOOKUP(D628,'[1]apoio_cód catmas'!$B$2:$C$863,2,FALSE),0)</f>
        <v>105619</v>
      </c>
      <c r="G628" s="33" t="str">
        <f>IF(H628="N/A",VLOOKUP(F628&amp;40,'[1]apoio_cód catmas'!$A$1:$G$233,4,FALSE),VLOOKUP(F628&amp;H628,'[1]apoio_cód catmas'!$A$1:$G$233,4,FALSE))</f>
        <v>SUPORTE ADMINISTRATIVO COM UNIFORME - 30H, 36H, 40H OU 44H</v>
      </c>
      <c r="H628" s="36">
        <v>30</v>
      </c>
      <c r="I628" s="37">
        <v>0.05</v>
      </c>
      <c r="J628" s="38" t="s">
        <v>47</v>
      </c>
      <c r="K628" s="39">
        <v>40</v>
      </c>
      <c r="L628" s="39">
        <f t="shared" si="307"/>
        <v>2400</v>
      </c>
      <c r="M628" s="40">
        <f>VLOOKUP(D628,[1]apoio_Preços_MGS!$A$6:$AN$238,18,FALSE)</f>
        <v>2081.1579447782583</v>
      </c>
      <c r="N628" s="40">
        <f>VLOOKUP(D628,[1]apoio_Preços_MGS!$A$6:$AN$238,19,FALSE)</f>
        <v>0</v>
      </c>
      <c r="O628" s="40">
        <f>VLOOKUP(D628,[1]apoio_Preços_MGS!$A$6:$AN$238,20,FALSE)</f>
        <v>0</v>
      </c>
      <c r="P628" s="40">
        <f>VLOOKUP(D628,[1]apoio_Preços_MGS!$A$6:$AN$238,21,FALSE)</f>
        <v>0</v>
      </c>
      <c r="Q628" s="40">
        <f>VLOOKUP(D628,[1]apoio_Preços_MGS!$A$6:$AN$238,22,FALSE)</f>
        <v>0</v>
      </c>
      <c r="R628" s="40">
        <f>VLOOKUP(D628,[1]apoio_Preços_MGS!$A$6:$AN$238,23,FALSE)</f>
        <v>0</v>
      </c>
      <c r="S628" s="40">
        <f>VLOOKUP(D628,[1]apoio_Preços_MGS!$A$6:$AN$238,24,FALSE)</f>
        <v>0</v>
      </c>
      <c r="T628" s="40">
        <f>VLOOKUP(D628,[1]apoio_Preços_MGS!$A$6:$AN$238,25,FALSE)</f>
        <v>0</v>
      </c>
      <c r="U628" s="40">
        <f t="shared" si="301"/>
        <v>2081.1579447782583</v>
      </c>
      <c r="V628" s="41">
        <f>VLOOKUP(D628,[1]apoio_Preços_MGS!$A$6:$AN$238,27,FALSE)</f>
        <v>0.81799999999999995</v>
      </c>
      <c r="W628" s="40">
        <f t="shared" si="302"/>
        <v>1702.3871988286153</v>
      </c>
      <c r="X628" s="40">
        <f>VLOOKUP(D628,[1]apoio_Preços_MGS!$A$6:$AN$238,29,FALSE)</f>
        <v>33.509646464646472</v>
      </c>
      <c r="Y628" s="40">
        <f>VLOOKUP(D628,[1]apoio_Preços_MGS!$A$6:$AN$238,30,FALSE)</f>
        <v>6.5772863955289598E-2</v>
      </c>
      <c r="Z628" s="40">
        <f t="shared" si="312"/>
        <v>33.575419328601761</v>
      </c>
      <c r="AA628" s="40">
        <f>VLOOKUP(D628,[1]apoio_Preços_MGS!$A$6:$AN$238,32,FALSE)</f>
        <v>3.9958232539742555</v>
      </c>
      <c r="AB628" s="40">
        <f>VLOOKUP(D628,[1]apoio_Preços_MGS!$A$6:$AN$238,33,FALSE)</f>
        <v>194.63476740272569</v>
      </c>
      <c r="AC628" s="41">
        <f>VLOOKUP(D628,[1]apoio_Preços_MGS!$A$6:$AN$238,34,FALSE)</f>
        <v>0</v>
      </c>
      <c r="AD628" s="40">
        <f>(U628+W628+Z628+AB628+AA628+VLOOKUP(C628,[1]apoio_Prec_Folha!$A:$S,7,FALSE))*AC628</f>
        <v>0</v>
      </c>
      <c r="AE628" s="42">
        <f>VLOOKUP(D628,[1]apoio_Preços_MGS!$A$6:$AN$238,36,FALSE)</f>
        <v>7.0000000000000007E-2</v>
      </c>
      <c r="AF628" s="40">
        <f>(U628+W628+Z628+AB628+AD628+AA628+VLOOKUP(C628,[1]apoio_Prec_Folha!$A:$S,7,FALSE))*AE628</f>
        <v>319.51896618412945</v>
      </c>
      <c r="AG628" s="40">
        <f t="shared" si="313"/>
        <v>4335.2700000000004</v>
      </c>
      <c r="AH628" s="43">
        <f t="shared" si="314"/>
        <v>5055.7</v>
      </c>
      <c r="AI628" s="43">
        <f t="shared" si="315"/>
        <v>202228</v>
      </c>
      <c r="AJ628" s="43">
        <f t="shared" si="316"/>
        <v>12133680</v>
      </c>
      <c r="AK628" s="44">
        <f>VLOOKUP(D628,[1]apoio_Preços_MGS!$A$6:$AN$238,39,FALSE)</f>
        <v>136.36363636363637</v>
      </c>
      <c r="AL628" s="44">
        <f>IF(J628="demais municípios",VLOOKUP(D628,[1]apoio_Preços_MGS!$A$6:$AN$238,39,FALSE),0)</f>
        <v>0</v>
      </c>
      <c r="AM628" s="44">
        <f>TRUNC(ROUND(($I628)/(1-($I628)),5)*VLOOKUP(D628,[1]apoio_Preços_MGS!$A$6:$AN$238,39,FALSE)+VLOOKUP(D628,[1]apoio_Preços_MGS!$A$6:$AN$238,39,FALSE),2)</f>
        <v>143.54</v>
      </c>
      <c r="AN628" s="45">
        <f t="shared" si="308"/>
        <v>5741.5999999999995</v>
      </c>
      <c r="AO628" s="44">
        <f>VLOOKUP(D628,[1]apoio_Preços_MGS!$A$6:$AN$238,40,FALSE)</f>
        <v>548.79999999999995</v>
      </c>
      <c r="AP628" s="44">
        <f>IF(J628="demais municípios",VLOOKUP(D628,[1]apoio_Preços_MGS!$A$6:$AN$238,40,FALSE),0)</f>
        <v>0</v>
      </c>
      <c r="AQ628" s="44">
        <f>TRUNC(ROUND(($I628)/(1-($I628)),5)*VLOOKUP(D628,[1]apoio_Preços_MGS!$A$6:$AN$238,40,FALSE)+VLOOKUP(D628,[1]apoio_Preços_MGS!$A$6:$AN$238,40,FALSE),2)</f>
        <v>577.67999999999995</v>
      </c>
      <c r="AR628" s="45">
        <f t="shared" si="309"/>
        <v>23107.199999999997</v>
      </c>
      <c r="AS628" s="45">
        <f t="shared" si="303"/>
        <v>28848.799999999996</v>
      </c>
      <c r="AT628" s="45">
        <f t="shared" si="306"/>
        <v>1730927.9999999998</v>
      </c>
      <c r="AU628" s="62"/>
      <c r="AV628" s="46"/>
      <c r="AW628" s="47"/>
      <c r="AX628" s="48"/>
      <c r="AY628" s="49"/>
      <c r="BA628" s="48"/>
    </row>
    <row r="629" spans="1:53" ht="19.5" customHeight="1" x14ac:dyDescent="0.25">
      <c r="A629" s="33" t="str">
        <f t="shared" si="304"/>
        <v>105619400,02</v>
      </c>
      <c r="B629" s="33" t="str">
        <f t="shared" si="305"/>
        <v>11970,02</v>
      </c>
      <c r="C629" s="34" t="str">
        <f>VLOOKUP(D629,[1]apoio_Preços_MGS!$A$6:$B$238,2,FALSE)</f>
        <v>SUPORTE ADMINISTRATIVO</v>
      </c>
      <c r="D629" s="35">
        <v>1197</v>
      </c>
      <c r="E629" s="33" t="str">
        <f>VLOOKUP(D629,[1]apoio_Preços_MGS!$A$6:$F$238,6,FALSE)</f>
        <v>SUPORTE ADMINISTRATIVO (COM UNIF.) - DIARISTA DIURNO - 40H</v>
      </c>
      <c r="F629" s="36">
        <f>IFERROR(VLOOKUP(D629,'[1]apoio_cód catmas'!$B$2:$C$863,2,FALSE),0)</f>
        <v>105619</v>
      </c>
      <c r="G629" s="33" t="str">
        <f>IF(H629="N/A",VLOOKUP(F629&amp;40,'[1]apoio_cód catmas'!$A$1:$G$233,4,FALSE),VLOOKUP(F629&amp;H629,'[1]apoio_cód catmas'!$A$1:$G$233,4,FALSE))</f>
        <v>SUPORTE ADMINISTRATIVO COM UNIFORME - 30H, 36H, 40H OU 44H</v>
      </c>
      <c r="H629" s="36">
        <v>40</v>
      </c>
      <c r="I629" s="37">
        <v>0.02</v>
      </c>
      <c r="J629" s="38" t="s">
        <v>46</v>
      </c>
      <c r="K629" s="39">
        <v>42</v>
      </c>
      <c r="L629" s="39">
        <f t="shared" si="307"/>
        <v>2520</v>
      </c>
      <c r="M629" s="40">
        <f>VLOOKUP(D629,[1]apoio_Preços_MGS!$A$6:$AN$238,18,FALSE)</f>
        <v>2774.8772597043444</v>
      </c>
      <c r="N629" s="40">
        <f>VLOOKUP(D629,[1]apoio_Preços_MGS!$A$6:$AN$238,19,FALSE)</f>
        <v>0</v>
      </c>
      <c r="O629" s="40">
        <f>VLOOKUP(D629,[1]apoio_Preços_MGS!$A$6:$AN$238,20,FALSE)</f>
        <v>0</v>
      </c>
      <c r="P629" s="40">
        <f>VLOOKUP(D629,[1]apoio_Preços_MGS!$A$6:$AN$238,21,FALSE)</f>
        <v>0</v>
      </c>
      <c r="Q629" s="40">
        <f>VLOOKUP(D629,[1]apoio_Preços_MGS!$A$6:$AN$238,22,FALSE)</f>
        <v>0</v>
      </c>
      <c r="R629" s="40">
        <f>VLOOKUP(D629,[1]apoio_Preços_MGS!$A$6:$AN$238,23,FALSE)</f>
        <v>0</v>
      </c>
      <c r="S629" s="40">
        <f>VLOOKUP(D629,[1]apoio_Preços_MGS!$A$6:$AN$238,24,FALSE)</f>
        <v>0</v>
      </c>
      <c r="T629" s="40">
        <f>VLOOKUP(D629,[1]apoio_Preços_MGS!$A$6:$AN$238,25,FALSE)</f>
        <v>0</v>
      </c>
      <c r="U629" s="40">
        <f t="shared" si="301"/>
        <v>2774.8772597043444</v>
      </c>
      <c r="V629" s="41">
        <f>VLOOKUP(D629,[1]apoio_Preços_MGS!$A$6:$AN$238,27,FALSE)</f>
        <v>0.81799999999999995</v>
      </c>
      <c r="W629" s="40">
        <f t="shared" si="302"/>
        <v>2269.8495984381534</v>
      </c>
      <c r="X629" s="40">
        <f>VLOOKUP(D629,[1]apoio_Preços_MGS!$A$6:$AN$238,29,FALSE)</f>
        <v>33.509646464646472</v>
      </c>
      <c r="Y629" s="40">
        <f>VLOOKUP(D629,[1]apoio_Preços_MGS!$A$6:$AN$238,30,FALSE)</f>
        <v>6.5772863955289598E-2</v>
      </c>
      <c r="Z629" s="40">
        <f t="shared" si="312"/>
        <v>33.575419328601761</v>
      </c>
      <c r="AA629" s="40">
        <f>VLOOKUP(D629,[1]apoio_Preços_MGS!$A$6:$AN$238,32,FALSE)</f>
        <v>5.327764338632341</v>
      </c>
      <c r="AB629" s="40">
        <f>VLOOKUP(D629,[1]apoio_Preços_MGS!$A$6:$AN$238,33,FALSE)</f>
        <v>168.10154139051505</v>
      </c>
      <c r="AC629" s="41">
        <f>VLOOKUP(D629,[1]apoio_Preços_MGS!$A$6:$AN$238,34,FALSE)</f>
        <v>0</v>
      </c>
      <c r="AD629" s="40">
        <f>(U629+W629+Z629+AB629+AA629+VLOOKUP(C629,[1]apoio_Prec_Folha!$A:$S,7,FALSE))*AC629</f>
        <v>0</v>
      </c>
      <c r="AE629" s="42">
        <f>VLOOKUP(D629,[1]apoio_Preços_MGS!$A$6:$AN$238,36,FALSE)</f>
        <v>7.0000000000000007E-2</v>
      </c>
      <c r="AF629" s="40">
        <f>(U629+W629+Z629+AB629+AD629+AA629+VLOOKUP(C629,[1]apoio_Prec_Folha!$A:$S,7,FALSE))*AE629</f>
        <v>406.0375962566946</v>
      </c>
      <c r="AG629" s="40">
        <f t="shared" si="313"/>
        <v>5657.76</v>
      </c>
      <c r="AH629" s="43">
        <f t="shared" si="314"/>
        <v>6374.93</v>
      </c>
      <c r="AI629" s="43">
        <f t="shared" si="315"/>
        <v>267747.06</v>
      </c>
      <c r="AJ629" s="43">
        <f t="shared" si="316"/>
        <v>16064823.600000001</v>
      </c>
      <c r="AK629" s="44">
        <f>VLOOKUP(D629,[1]apoio_Preços_MGS!$A$6:$AN$238,39,FALSE)</f>
        <v>181.81818181818184</v>
      </c>
      <c r="AL629" s="44">
        <f>IF(J629="demais municípios",VLOOKUP(D629,[1]apoio_Preços_MGS!$A$6:$AN$238,39,FALSE),0)</f>
        <v>181.81818181818184</v>
      </c>
      <c r="AM629" s="44">
        <v>0</v>
      </c>
      <c r="AN629" s="45">
        <f t="shared" ref="AN629:AN635" si="325">AK629*K629</f>
        <v>7636.3636363636369</v>
      </c>
      <c r="AO629" s="44">
        <f>VLOOKUP(D629,[1]apoio_Preços_MGS!$A$6:$AN$238,40,FALSE)</f>
        <v>548.79999999999995</v>
      </c>
      <c r="AP629" s="44">
        <f>IF(J629="demais municípios",VLOOKUP(D629,[1]apoio_Preços_MGS!$A$6:$AN$238,40,FALSE),0)</f>
        <v>548.79999999999995</v>
      </c>
      <c r="AQ629" s="44">
        <v>0</v>
      </c>
      <c r="AR629" s="45">
        <f t="shared" ref="AR629:AR635" si="326">AO629*K629</f>
        <v>23049.599999999999</v>
      </c>
      <c r="AS629" s="45">
        <f t="shared" si="303"/>
        <v>30685.963636363635</v>
      </c>
      <c r="AT629" s="45">
        <f t="shared" si="306"/>
        <v>1841157.8181818181</v>
      </c>
      <c r="AU629" s="62"/>
      <c r="AV629" s="46"/>
      <c r="AW629" s="47"/>
      <c r="AX629" s="48"/>
      <c r="AY629" s="49"/>
      <c r="BA629" s="48"/>
    </row>
    <row r="630" spans="1:53" ht="19.5" customHeight="1" x14ac:dyDescent="0.25">
      <c r="A630" s="33" t="str">
        <f t="shared" si="304"/>
        <v>105619400,025</v>
      </c>
      <c r="B630" s="33" t="str">
        <f t="shared" si="305"/>
        <v>11970,025</v>
      </c>
      <c r="C630" s="34" t="str">
        <f>VLOOKUP(D630,[1]apoio_Preços_MGS!$A$6:$B$238,2,FALSE)</f>
        <v>SUPORTE ADMINISTRATIVO</v>
      </c>
      <c r="D630" s="35">
        <v>1197</v>
      </c>
      <c r="E630" s="33" t="str">
        <f>VLOOKUP(D630,[1]apoio_Preços_MGS!$A$6:$F$238,6,FALSE)</f>
        <v>SUPORTE ADMINISTRATIVO (COM UNIF.) - DIARISTA DIURNO - 40H</v>
      </c>
      <c r="F630" s="36">
        <f>IFERROR(VLOOKUP(D630,'[1]apoio_cód catmas'!$B$2:$C$863,2,FALSE),0)</f>
        <v>105619</v>
      </c>
      <c r="G630" s="33" t="str">
        <f>IF(H630="N/A",VLOOKUP(F630&amp;40,'[1]apoio_cód catmas'!$A$1:$G$233,4,FALSE),VLOOKUP(F630&amp;H630,'[1]apoio_cód catmas'!$A$1:$G$233,4,FALSE))</f>
        <v>SUPORTE ADMINISTRATIVO COM UNIFORME - 30H, 36H, 40H OU 44H</v>
      </c>
      <c r="H630" s="36">
        <v>40</v>
      </c>
      <c r="I630" s="37">
        <v>2.5000000000000001E-2</v>
      </c>
      <c r="J630" s="38" t="s">
        <v>46</v>
      </c>
      <c r="K630" s="39">
        <v>7</v>
      </c>
      <c r="L630" s="39">
        <f t="shared" si="307"/>
        <v>420</v>
      </c>
      <c r="M630" s="40">
        <f>VLOOKUP(D630,[1]apoio_Preços_MGS!$A$6:$AN$238,18,FALSE)</f>
        <v>2774.8772597043444</v>
      </c>
      <c r="N630" s="40">
        <f>VLOOKUP(D630,[1]apoio_Preços_MGS!$A$6:$AN$238,19,FALSE)</f>
        <v>0</v>
      </c>
      <c r="O630" s="40">
        <f>VLOOKUP(D630,[1]apoio_Preços_MGS!$A$6:$AN$238,20,FALSE)</f>
        <v>0</v>
      </c>
      <c r="P630" s="40">
        <f>VLOOKUP(D630,[1]apoio_Preços_MGS!$A$6:$AN$238,21,FALSE)</f>
        <v>0</v>
      </c>
      <c r="Q630" s="40">
        <f>VLOOKUP(D630,[1]apoio_Preços_MGS!$A$6:$AN$238,22,FALSE)</f>
        <v>0</v>
      </c>
      <c r="R630" s="40">
        <f>VLOOKUP(D630,[1]apoio_Preços_MGS!$A$6:$AN$238,23,FALSE)</f>
        <v>0</v>
      </c>
      <c r="S630" s="40">
        <f>VLOOKUP(D630,[1]apoio_Preços_MGS!$A$6:$AN$238,24,FALSE)</f>
        <v>0</v>
      </c>
      <c r="T630" s="40">
        <f>VLOOKUP(D630,[1]apoio_Preços_MGS!$A$6:$AN$238,25,FALSE)</f>
        <v>0</v>
      </c>
      <c r="U630" s="40">
        <f t="shared" si="301"/>
        <v>2774.8772597043444</v>
      </c>
      <c r="V630" s="41">
        <f>VLOOKUP(D630,[1]apoio_Preços_MGS!$A$6:$AN$238,27,FALSE)</f>
        <v>0.81799999999999995</v>
      </c>
      <c r="W630" s="40">
        <f t="shared" si="302"/>
        <v>2269.8495984381534</v>
      </c>
      <c r="X630" s="40">
        <f>VLOOKUP(D630,[1]apoio_Preços_MGS!$A$6:$AN$238,29,FALSE)</f>
        <v>33.509646464646472</v>
      </c>
      <c r="Y630" s="40">
        <f>VLOOKUP(D630,[1]apoio_Preços_MGS!$A$6:$AN$238,30,FALSE)</f>
        <v>6.5772863955289598E-2</v>
      </c>
      <c r="Z630" s="40">
        <f t="shared" si="312"/>
        <v>33.575419328601761</v>
      </c>
      <c r="AA630" s="40">
        <f>VLOOKUP(D630,[1]apoio_Preços_MGS!$A$6:$AN$238,32,FALSE)</f>
        <v>5.327764338632341</v>
      </c>
      <c r="AB630" s="40">
        <f>VLOOKUP(D630,[1]apoio_Preços_MGS!$A$6:$AN$238,33,FALSE)</f>
        <v>168.10154139051505</v>
      </c>
      <c r="AC630" s="41">
        <f>VLOOKUP(D630,[1]apoio_Preços_MGS!$A$6:$AN$238,34,FALSE)</f>
        <v>0</v>
      </c>
      <c r="AD630" s="40">
        <f>(U630+W630+Z630+AB630+AA630+VLOOKUP(C630,[1]apoio_Prec_Folha!$A:$S,7,FALSE))*AC630</f>
        <v>0</v>
      </c>
      <c r="AE630" s="42">
        <f>VLOOKUP(D630,[1]apoio_Preços_MGS!$A$6:$AN$238,36,FALSE)</f>
        <v>7.0000000000000007E-2</v>
      </c>
      <c r="AF630" s="40">
        <f>(U630+W630+Z630+AB630+AD630+AA630+VLOOKUP(C630,[1]apoio_Prec_Folha!$A:$S,7,FALSE))*AE630</f>
        <v>406.0375962566946</v>
      </c>
      <c r="AG630" s="40">
        <f t="shared" si="313"/>
        <v>5657.76</v>
      </c>
      <c r="AH630" s="43">
        <f t="shared" si="314"/>
        <v>6411.03</v>
      </c>
      <c r="AI630" s="43">
        <f t="shared" si="315"/>
        <v>44877.21</v>
      </c>
      <c r="AJ630" s="43">
        <f t="shared" si="316"/>
        <v>2692632.6</v>
      </c>
      <c r="AK630" s="44">
        <f>VLOOKUP(D630,[1]apoio_Preços_MGS!$A$6:$AN$238,39,FALSE)</f>
        <v>181.81818181818184</v>
      </c>
      <c r="AL630" s="44">
        <f>IF(J630="demais municípios",VLOOKUP(D630,[1]apoio_Preços_MGS!$A$6:$AN$238,39,FALSE),0)</f>
        <v>181.81818181818184</v>
      </c>
      <c r="AM630" s="44">
        <v>0</v>
      </c>
      <c r="AN630" s="45">
        <f t="shared" si="325"/>
        <v>1272.727272727273</v>
      </c>
      <c r="AO630" s="44">
        <f>VLOOKUP(D630,[1]apoio_Preços_MGS!$A$6:$AN$238,40,FALSE)</f>
        <v>548.79999999999995</v>
      </c>
      <c r="AP630" s="44">
        <f>IF(J630="demais municípios",VLOOKUP(D630,[1]apoio_Preços_MGS!$A$6:$AN$238,40,FALSE),0)</f>
        <v>548.79999999999995</v>
      </c>
      <c r="AQ630" s="44">
        <v>0</v>
      </c>
      <c r="AR630" s="45">
        <f t="shared" si="326"/>
        <v>3841.5999999999995</v>
      </c>
      <c r="AS630" s="45">
        <f t="shared" si="303"/>
        <v>5114.3272727272724</v>
      </c>
      <c r="AT630" s="45">
        <f t="shared" si="306"/>
        <v>306859.63636363635</v>
      </c>
      <c r="AU630" s="62"/>
      <c r="AV630" s="46"/>
      <c r="AW630" s="47"/>
      <c r="AX630" s="48"/>
      <c r="AY630" s="49"/>
      <c r="BA630" s="48"/>
    </row>
    <row r="631" spans="1:53" ht="19.5" customHeight="1" x14ac:dyDescent="0.25">
      <c r="A631" s="33" t="str">
        <f t="shared" si="304"/>
        <v>105619400,027</v>
      </c>
      <c r="B631" s="33" t="str">
        <f t="shared" si="305"/>
        <v>11970,027</v>
      </c>
      <c r="C631" s="34" t="str">
        <f>VLOOKUP(D631,[1]apoio_Preços_MGS!$A$6:$B$238,2,FALSE)</f>
        <v>SUPORTE ADMINISTRATIVO</v>
      </c>
      <c r="D631" s="35">
        <v>1197</v>
      </c>
      <c r="E631" s="33" t="str">
        <f>VLOOKUP(D631,[1]apoio_Preços_MGS!$A$6:$F$238,6,FALSE)</f>
        <v>SUPORTE ADMINISTRATIVO (COM UNIF.) - DIARISTA DIURNO - 40H</v>
      </c>
      <c r="F631" s="36">
        <f>IFERROR(VLOOKUP(D631,'[1]apoio_cód catmas'!$B$2:$C$863,2,FALSE),0)</f>
        <v>105619</v>
      </c>
      <c r="G631" s="33" t="str">
        <f>IF(H631="N/A",VLOOKUP(F631&amp;40,'[1]apoio_cód catmas'!$A$1:$G$233,4,FALSE),VLOOKUP(F631&amp;H631,'[1]apoio_cód catmas'!$A$1:$G$233,4,FALSE))</f>
        <v>SUPORTE ADMINISTRATIVO COM UNIFORME - 30H, 36H, 40H OU 44H</v>
      </c>
      <c r="H631" s="36">
        <v>40</v>
      </c>
      <c r="I631" s="37">
        <v>2.7000000000000003E-2</v>
      </c>
      <c r="J631" s="38" t="s">
        <v>46</v>
      </c>
      <c r="K631" s="39">
        <v>1</v>
      </c>
      <c r="L631" s="39">
        <f t="shared" si="307"/>
        <v>60</v>
      </c>
      <c r="M631" s="40">
        <f>VLOOKUP(D631,[1]apoio_Preços_MGS!$A$6:$AN$238,18,FALSE)</f>
        <v>2774.8772597043444</v>
      </c>
      <c r="N631" s="40">
        <f>VLOOKUP(D631,[1]apoio_Preços_MGS!$A$6:$AN$238,19,FALSE)</f>
        <v>0</v>
      </c>
      <c r="O631" s="40">
        <f>VLOOKUP(D631,[1]apoio_Preços_MGS!$A$6:$AN$238,20,FALSE)</f>
        <v>0</v>
      </c>
      <c r="P631" s="40">
        <f>VLOOKUP(D631,[1]apoio_Preços_MGS!$A$6:$AN$238,21,FALSE)</f>
        <v>0</v>
      </c>
      <c r="Q631" s="40">
        <f>VLOOKUP(D631,[1]apoio_Preços_MGS!$A$6:$AN$238,22,FALSE)</f>
        <v>0</v>
      </c>
      <c r="R631" s="40">
        <f>VLOOKUP(D631,[1]apoio_Preços_MGS!$A$6:$AN$238,23,FALSE)</f>
        <v>0</v>
      </c>
      <c r="S631" s="40">
        <f>VLOOKUP(D631,[1]apoio_Preços_MGS!$A$6:$AN$238,24,FALSE)</f>
        <v>0</v>
      </c>
      <c r="T631" s="40">
        <f>VLOOKUP(D631,[1]apoio_Preços_MGS!$A$6:$AN$238,25,FALSE)</f>
        <v>0</v>
      </c>
      <c r="U631" s="40">
        <f t="shared" si="301"/>
        <v>2774.8772597043444</v>
      </c>
      <c r="V631" s="41">
        <f>VLOOKUP(D631,[1]apoio_Preços_MGS!$A$6:$AN$238,27,FALSE)</f>
        <v>0.81799999999999995</v>
      </c>
      <c r="W631" s="40">
        <f t="shared" si="302"/>
        <v>2269.8495984381534</v>
      </c>
      <c r="X631" s="40">
        <f>VLOOKUP(D631,[1]apoio_Preços_MGS!$A$6:$AN$238,29,FALSE)</f>
        <v>33.509646464646472</v>
      </c>
      <c r="Y631" s="40">
        <f>VLOOKUP(D631,[1]apoio_Preços_MGS!$A$6:$AN$238,30,FALSE)</f>
        <v>6.5772863955289598E-2</v>
      </c>
      <c r="Z631" s="40">
        <f t="shared" si="312"/>
        <v>33.575419328601761</v>
      </c>
      <c r="AA631" s="40">
        <f>VLOOKUP(D631,[1]apoio_Preços_MGS!$A$6:$AN$238,32,FALSE)</f>
        <v>5.327764338632341</v>
      </c>
      <c r="AB631" s="40">
        <f>VLOOKUP(D631,[1]apoio_Preços_MGS!$A$6:$AN$238,33,FALSE)</f>
        <v>168.10154139051505</v>
      </c>
      <c r="AC631" s="41">
        <f>VLOOKUP(D631,[1]apoio_Preços_MGS!$A$6:$AN$238,34,FALSE)</f>
        <v>0</v>
      </c>
      <c r="AD631" s="40">
        <f>(U631+W631+Z631+AB631+AA631+VLOOKUP(C631,[1]apoio_Prec_Folha!$A:$S,7,FALSE))*AC631</f>
        <v>0</v>
      </c>
      <c r="AE631" s="42">
        <f>VLOOKUP(D631,[1]apoio_Preços_MGS!$A$6:$AN$238,36,FALSE)</f>
        <v>7.0000000000000007E-2</v>
      </c>
      <c r="AF631" s="40">
        <f>(U631+W631+Z631+AB631+AD631+AA631+VLOOKUP(C631,[1]apoio_Prec_Folha!$A:$S,7,FALSE))*AE631</f>
        <v>406.0375962566946</v>
      </c>
      <c r="AG631" s="40">
        <f t="shared" si="313"/>
        <v>5657.76</v>
      </c>
      <c r="AH631" s="43">
        <f t="shared" si="314"/>
        <v>6425.63</v>
      </c>
      <c r="AI631" s="43">
        <f t="shared" si="315"/>
        <v>6425.63</v>
      </c>
      <c r="AJ631" s="43">
        <f t="shared" si="316"/>
        <v>385537.8</v>
      </c>
      <c r="AK631" s="44">
        <f>VLOOKUP(D631,[1]apoio_Preços_MGS!$A$6:$AN$238,39,FALSE)</f>
        <v>181.81818181818184</v>
      </c>
      <c r="AL631" s="44">
        <f>IF(J631="demais municípios",VLOOKUP(D631,[1]apoio_Preços_MGS!$A$6:$AN$238,39,FALSE),0)</f>
        <v>181.81818181818184</v>
      </c>
      <c r="AM631" s="44">
        <v>0</v>
      </c>
      <c r="AN631" s="45">
        <f t="shared" si="325"/>
        <v>181.81818181818184</v>
      </c>
      <c r="AO631" s="44">
        <f>VLOOKUP(D631,[1]apoio_Preços_MGS!$A$6:$AN$238,40,FALSE)</f>
        <v>548.79999999999995</v>
      </c>
      <c r="AP631" s="44">
        <f>IF(J631="demais municípios",VLOOKUP(D631,[1]apoio_Preços_MGS!$A$6:$AN$238,40,FALSE),0)</f>
        <v>548.79999999999995</v>
      </c>
      <c r="AQ631" s="44">
        <v>0</v>
      </c>
      <c r="AR631" s="45">
        <f t="shared" si="326"/>
        <v>548.79999999999995</v>
      </c>
      <c r="AS631" s="45">
        <f t="shared" si="303"/>
        <v>730.61818181818182</v>
      </c>
      <c r="AT631" s="45">
        <f t="shared" si="306"/>
        <v>43837.090909090912</v>
      </c>
      <c r="AU631" s="62"/>
      <c r="AV631" s="46"/>
      <c r="AW631" s="47"/>
      <c r="AX631" s="48"/>
      <c r="AY631" s="49"/>
      <c r="BA631" s="48"/>
    </row>
    <row r="632" spans="1:53" ht="19.5" customHeight="1" x14ac:dyDescent="0.25">
      <c r="A632" s="33" t="str">
        <f t="shared" si="304"/>
        <v>105619400,03</v>
      </c>
      <c r="B632" s="33" t="str">
        <f t="shared" si="305"/>
        <v>11970,03</v>
      </c>
      <c r="C632" s="34" t="str">
        <f>VLOOKUP(D632,[1]apoio_Preços_MGS!$A$6:$B$238,2,FALSE)</f>
        <v>SUPORTE ADMINISTRATIVO</v>
      </c>
      <c r="D632" s="35">
        <v>1197</v>
      </c>
      <c r="E632" s="33" t="str">
        <f>VLOOKUP(D632,[1]apoio_Preços_MGS!$A$6:$F$238,6,FALSE)</f>
        <v>SUPORTE ADMINISTRATIVO (COM UNIF.) - DIARISTA DIURNO - 40H</v>
      </c>
      <c r="F632" s="36">
        <f>IFERROR(VLOOKUP(D632,'[1]apoio_cód catmas'!$B$2:$C$863,2,FALSE),0)</f>
        <v>105619</v>
      </c>
      <c r="G632" s="33" t="str">
        <f>IF(H632="N/A",VLOOKUP(F632&amp;40,'[1]apoio_cód catmas'!$A$1:$G$233,4,FALSE),VLOOKUP(F632&amp;H632,'[1]apoio_cód catmas'!$A$1:$G$233,4,FALSE))</f>
        <v>SUPORTE ADMINISTRATIVO COM UNIFORME - 30H, 36H, 40H OU 44H</v>
      </c>
      <c r="H632" s="36">
        <v>40</v>
      </c>
      <c r="I632" s="37">
        <v>0.03</v>
      </c>
      <c r="J632" s="38" t="s">
        <v>46</v>
      </c>
      <c r="K632" s="39">
        <v>79</v>
      </c>
      <c r="L632" s="39">
        <f t="shared" si="307"/>
        <v>4740</v>
      </c>
      <c r="M632" s="40">
        <f>VLOOKUP(D632,[1]apoio_Preços_MGS!$A$6:$AN$238,18,FALSE)</f>
        <v>2774.8772597043444</v>
      </c>
      <c r="N632" s="40">
        <f>VLOOKUP(D632,[1]apoio_Preços_MGS!$A$6:$AN$238,19,FALSE)</f>
        <v>0</v>
      </c>
      <c r="O632" s="40">
        <f>VLOOKUP(D632,[1]apoio_Preços_MGS!$A$6:$AN$238,20,FALSE)</f>
        <v>0</v>
      </c>
      <c r="P632" s="40">
        <f>VLOOKUP(D632,[1]apoio_Preços_MGS!$A$6:$AN$238,21,FALSE)</f>
        <v>0</v>
      </c>
      <c r="Q632" s="40">
        <f>VLOOKUP(D632,[1]apoio_Preços_MGS!$A$6:$AN$238,22,FALSE)</f>
        <v>0</v>
      </c>
      <c r="R632" s="40">
        <f>VLOOKUP(D632,[1]apoio_Preços_MGS!$A$6:$AN$238,23,FALSE)</f>
        <v>0</v>
      </c>
      <c r="S632" s="40">
        <f>VLOOKUP(D632,[1]apoio_Preços_MGS!$A$6:$AN$238,24,FALSE)</f>
        <v>0</v>
      </c>
      <c r="T632" s="40">
        <f>VLOOKUP(D632,[1]apoio_Preços_MGS!$A$6:$AN$238,25,FALSE)</f>
        <v>0</v>
      </c>
      <c r="U632" s="40">
        <f t="shared" si="301"/>
        <v>2774.8772597043444</v>
      </c>
      <c r="V632" s="41">
        <f>VLOOKUP(D632,[1]apoio_Preços_MGS!$A$6:$AN$238,27,FALSE)</f>
        <v>0.81799999999999995</v>
      </c>
      <c r="W632" s="40">
        <f t="shared" si="302"/>
        <v>2269.8495984381534</v>
      </c>
      <c r="X632" s="40">
        <f>VLOOKUP(D632,[1]apoio_Preços_MGS!$A$6:$AN$238,29,FALSE)</f>
        <v>33.509646464646472</v>
      </c>
      <c r="Y632" s="40">
        <f>VLOOKUP(D632,[1]apoio_Preços_MGS!$A$6:$AN$238,30,FALSE)</f>
        <v>6.5772863955289598E-2</v>
      </c>
      <c r="Z632" s="40">
        <f t="shared" si="312"/>
        <v>33.575419328601761</v>
      </c>
      <c r="AA632" s="40">
        <f>VLOOKUP(D632,[1]apoio_Preços_MGS!$A$6:$AN$238,32,FALSE)</f>
        <v>5.327764338632341</v>
      </c>
      <c r="AB632" s="40">
        <f>VLOOKUP(D632,[1]apoio_Preços_MGS!$A$6:$AN$238,33,FALSE)</f>
        <v>168.10154139051505</v>
      </c>
      <c r="AC632" s="41">
        <f>VLOOKUP(D632,[1]apoio_Preços_MGS!$A$6:$AN$238,34,FALSE)</f>
        <v>0</v>
      </c>
      <c r="AD632" s="40">
        <f>(U632+W632+Z632+AB632+AA632+VLOOKUP(C632,[1]apoio_Prec_Folha!$A:$S,7,FALSE))*AC632</f>
        <v>0</v>
      </c>
      <c r="AE632" s="42">
        <f>VLOOKUP(D632,[1]apoio_Preços_MGS!$A$6:$AN$238,36,FALSE)</f>
        <v>7.0000000000000007E-2</v>
      </c>
      <c r="AF632" s="40">
        <f>(U632+W632+Z632+AB632+AD632+AA632+VLOOKUP(C632,[1]apoio_Prec_Folha!$A:$S,7,FALSE))*AE632</f>
        <v>406.0375962566946</v>
      </c>
      <c r="AG632" s="40">
        <f t="shared" si="313"/>
        <v>5657.76</v>
      </c>
      <c r="AH632" s="43">
        <f t="shared" si="314"/>
        <v>6447.58</v>
      </c>
      <c r="AI632" s="43">
        <f t="shared" si="315"/>
        <v>509358.82</v>
      </c>
      <c r="AJ632" s="43">
        <f t="shared" si="316"/>
        <v>30561529.199999999</v>
      </c>
      <c r="AK632" s="44">
        <f>VLOOKUP(D632,[1]apoio_Preços_MGS!$A$6:$AN$238,39,FALSE)</f>
        <v>181.81818181818184</v>
      </c>
      <c r="AL632" s="44">
        <f>IF(J632="demais municípios",VLOOKUP(D632,[1]apoio_Preços_MGS!$A$6:$AN$238,39,FALSE),0)</f>
        <v>181.81818181818184</v>
      </c>
      <c r="AM632" s="44">
        <v>0</v>
      </c>
      <c r="AN632" s="45">
        <f t="shared" si="325"/>
        <v>14363.636363636366</v>
      </c>
      <c r="AO632" s="44">
        <f>VLOOKUP(D632,[1]apoio_Preços_MGS!$A$6:$AN$238,40,FALSE)</f>
        <v>548.79999999999995</v>
      </c>
      <c r="AP632" s="44">
        <f>IF(J632="demais municípios",VLOOKUP(D632,[1]apoio_Preços_MGS!$A$6:$AN$238,40,FALSE),0)</f>
        <v>548.79999999999995</v>
      </c>
      <c r="AQ632" s="44">
        <v>0</v>
      </c>
      <c r="AR632" s="45">
        <f t="shared" si="326"/>
        <v>43355.199999999997</v>
      </c>
      <c r="AS632" s="45">
        <f t="shared" si="303"/>
        <v>57718.836363636365</v>
      </c>
      <c r="AT632" s="45">
        <f t="shared" si="306"/>
        <v>3463130.1818181816</v>
      </c>
      <c r="AU632" s="62"/>
      <c r="AV632" s="46"/>
      <c r="AW632" s="47"/>
      <c r="AX632" s="48"/>
      <c r="AY632" s="49"/>
      <c r="BA632" s="48"/>
    </row>
    <row r="633" spans="1:53" ht="19.5" customHeight="1" x14ac:dyDescent="0.25">
      <c r="A633" s="33" t="str">
        <f t="shared" si="304"/>
        <v>105619400,035</v>
      </c>
      <c r="B633" s="33" t="str">
        <f t="shared" si="305"/>
        <v>11970,035</v>
      </c>
      <c r="C633" s="34" t="str">
        <f>VLOOKUP(D633,[1]apoio_Preços_MGS!$A$6:$B$238,2,FALSE)</f>
        <v>SUPORTE ADMINISTRATIVO</v>
      </c>
      <c r="D633" s="35">
        <v>1197</v>
      </c>
      <c r="E633" s="33" t="str">
        <f>VLOOKUP(D633,[1]apoio_Preços_MGS!$A$6:$F$238,6,FALSE)</f>
        <v>SUPORTE ADMINISTRATIVO (COM UNIF.) - DIARISTA DIURNO - 40H</v>
      </c>
      <c r="F633" s="36">
        <f>IFERROR(VLOOKUP(D633,'[1]apoio_cód catmas'!$B$2:$C$863,2,FALSE),0)</f>
        <v>105619</v>
      </c>
      <c r="G633" s="33" t="str">
        <f>IF(H633="N/A",VLOOKUP(F633&amp;40,'[1]apoio_cód catmas'!$A$1:$G$233,4,FALSE),VLOOKUP(F633&amp;H633,'[1]apoio_cód catmas'!$A$1:$G$233,4,FALSE))</f>
        <v>SUPORTE ADMINISTRATIVO COM UNIFORME - 30H, 36H, 40H OU 44H</v>
      </c>
      <c r="H633" s="36">
        <v>40</v>
      </c>
      <c r="I633" s="37">
        <v>3.5000000000000003E-2</v>
      </c>
      <c r="J633" s="38" t="s">
        <v>46</v>
      </c>
      <c r="K633" s="39">
        <v>8</v>
      </c>
      <c r="L633" s="39">
        <f t="shared" si="307"/>
        <v>480</v>
      </c>
      <c r="M633" s="40">
        <f>VLOOKUP(D633,[1]apoio_Preços_MGS!$A$6:$AN$238,18,FALSE)</f>
        <v>2774.8772597043444</v>
      </c>
      <c r="N633" s="40">
        <f>VLOOKUP(D633,[1]apoio_Preços_MGS!$A$6:$AN$238,19,FALSE)</f>
        <v>0</v>
      </c>
      <c r="O633" s="40">
        <f>VLOOKUP(D633,[1]apoio_Preços_MGS!$A$6:$AN$238,20,FALSE)</f>
        <v>0</v>
      </c>
      <c r="P633" s="40">
        <f>VLOOKUP(D633,[1]apoio_Preços_MGS!$A$6:$AN$238,21,FALSE)</f>
        <v>0</v>
      </c>
      <c r="Q633" s="40">
        <f>VLOOKUP(D633,[1]apoio_Preços_MGS!$A$6:$AN$238,22,FALSE)</f>
        <v>0</v>
      </c>
      <c r="R633" s="40">
        <f>VLOOKUP(D633,[1]apoio_Preços_MGS!$A$6:$AN$238,23,FALSE)</f>
        <v>0</v>
      </c>
      <c r="S633" s="40">
        <f>VLOOKUP(D633,[1]apoio_Preços_MGS!$A$6:$AN$238,24,FALSE)</f>
        <v>0</v>
      </c>
      <c r="T633" s="40">
        <f>VLOOKUP(D633,[1]apoio_Preços_MGS!$A$6:$AN$238,25,FALSE)</f>
        <v>0</v>
      </c>
      <c r="U633" s="40">
        <f t="shared" si="301"/>
        <v>2774.8772597043444</v>
      </c>
      <c r="V633" s="41">
        <f>VLOOKUP(D633,[1]apoio_Preços_MGS!$A$6:$AN$238,27,FALSE)</f>
        <v>0.81799999999999995</v>
      </c>
      <c r="W633" s="40">
        <f t="shared" si="302"/>
        <v>2269.8495984381534</v>
      </c>
      <c r="X633" s="40">
        <f>VLOOKUP(D633,[1]apoio_Preços_MGS!$A$6:$AN$238,29,FALSE)</f>
        <v>33.509646464646472</v>
      </c>
      <c r="Y633" s="40">
        <f>VLOOKUP(D633,[1]apoio_Preços_MGS!$A$6:$AN$238,30,FALSE)</f>
        <v>6.5772863955289598E-2</v>
      </c>
      <c r="Z633" s="40">
        <f t="shared" si="312"/>
        <v>33.575419328601761</v>
      </c>
      <c r="AA633" s="40">
        <f>VLOOKUP(D633,[1]apoio_Preços_MGS!$A$6:$AN$238,32,FALSE)</f>
        <v>5.327764338632341</v>
      </c>
      <c r="AB633" s="40">
        <f>VLOOKUP(D633,[1]apoio_Preços_MGS!$A$6:$AN$238,33,FALSE)</f>
        <v>168.10154139051505</v>
      </c>
      <c r="AC633" s="41">
        <f>VLOOKUP(D633,[1]apoio_Preços_MGS!$A$6:$AN$238,34,FALSE)</f>
        <v>0</v>
      </c>
      <c r="AD633" s="40">
        <f>(U633+W633+Z633+AB633+AA633+VLOOKUP(C633,[1]apoio_Prec_Folha!$A:$S,7,FALSE))*AC633</f>
        <v>0</v>
      </c>
      <c r="AE633" s="42">
        <f>VLOOKUP(D633,[1]apoio_Preços_MGS!$A$6:$AN$238,36,FALSE)</f>
        <v>7.0000000000000007E-2</v>
      </c>
      <c r="AF633" s="40">
        <f>(U633+W633+Z633+AB633+AD633+AA633+VLOOKUP(C633,[1]apoio_Prec_Folha!$A:$S,7,FALSE))*AE633</f>
        <v>406.0375962566946</v>
      </c>
      <c r="AG633" s="40">
        <f t="shared" si="313"/>
        <v>5657.76</v>
      </c>
      <c r="AH633" s="43">
        <f t="shared" si="314"/>
        <v>6484.52</v>
      </c>
      <c r="AI633" s="43">
        <f t="shared" si="315"/>
        <v>51876.160000000003</v>
      </c>
      <c r="AJ633" s="43">
        <f t="shared" si="316"/>
        <v>3112569.6</v>
      </c>
      <c r="AK633" s="44">
        <f>VLOOKUP(D633,[1]apoio_Preços_MGS!$A$6:$AN$238,39,FALSE)</f>
        <v>181.81818181818184</v>
      </c>
      <c r="AL633" s="44">
        <f>IF(J633="demais municípios",VLOOKUP(D633,[1]apoio_Preços_MGS!$A$6:$AN$238,39,FALSE),0)</f>
        <v>181.81818181818184</v>
      </c>
      <c r="AM633" s="44">
        <v>0</v>
      </c>
      <c r="AN633" s="45">
        <f t="shared" si="325"/>
        <v>1454.5454545454547</v>
      </c>
      <c r="AO633" s="44">
        <f>VLOOKUP(D633,[1]apoio_Preços_MGS!$A$6:$AN$238,40,FALSE)</f>
        <v>548.79999999999995</v>
      </c>
      <c r="AP633" s="44">
        <f>IF(J633="demais municípios",VLOOKUP(D633,[1]apoio_Preços_MGS!$A$6:$AN$238,40,FALSE),0)</f>
        <v>548.79999999999995</v>
      </c>
      <c r="AQ633" s="44">
        <v>0</v>
      </c>
      <c r="AR633" s="45">
        <f t="shared" si="326"/>
        <v>4390.3999999999996</v>
      </c>
      <c r="AS633" s="45">
        <f t="shared" si="303"/>
        <v>5844.9454545454546</v>
      </c>
      <c r="AT633" s="45">
        <f t="shared" si="306"/>
        <v>350696.72727272729</v>
      </c>
      <c r="AU633" s="62"/>
      <c r="AV633" s="46"/>
      <c r="AW633" s="47"/>
      <c r="AX633" s="48"/>
      <c r="AY633" s="49"/>
      <c r="BA633" s="48"/>
    </row>
    <row r="634" spans="1:53" ht="19.5" customHeight="1" x14ac:dyDescent="0.25">
      <c r="A634" s="33" t="str">
        <f t="shared" si="304"/>
        <v>105619400,04</v>
      </c>
      <c r="B634" s="33" t="str">
        <f t="shared" si="305"/>
        <v>11970,04</v>
      </c>
      <c r="C634" s="34" t="str">
        <f>VLOOKUP(D634,[1]apoio_Preços_MGS!$A$6:$B$238,2,FALSE)</f>
        <v>SUPORTE ADMINISTRATIVO</v>
      </c>
      <c r="D634" s="35">
        <v>1197</v>
      </c>
      <c r="E634" s="33" t="str">
        <f>VLOOKUP(D634,[1]apoio_Preços_MGS!$A$6:$F$238,6,FALSE)</f>
        <v>SUPORTE ADMINISTRATIVO (COM UNIF.) - DIARISTA DIURNO - 40H</v>
      </c>
      <c r="F634" s="36">
        <f>IFERROR(VLOOKUP(D634,'[1]apoio_cód catmas'!$B$2:$C$863,2,FALSE),0)</f>
        <v>105619</v>
      </c>
      <c r="G634" s="33" t="str">
        <f>IF(H634="N/A",VLOOKUP(F634&amp;40,'[1]apoio_cód catmas'!$A$1:$G$233,4,FALSE),VLOOKUP(F634&amp;H634,'[1]apoio_cód catmas'!$A$1:$G$233,4,FALSE))</f>
        <v>SUPORTE ADMINISTRATIVO COM UNIFORME - 30H, 36H, 40H OU 44H</v>
      </c>
      <c r="H634" s="36">
        <v>40</v>
      </c>
      <c r="I634" s="37">
        <v>0.04</v>
      </c>
      <c r="J634" s="38" t="s">
        <v>46</v>
      </c>
      <c r="K634" s="39">
        <v>20</v>
      </c>
      <c r="L634" s="39">
        <f t="shared" si="307"/>
        <v>1200</v>
      </c>
      <c r="M634" s="40">
        <f>VLOOKUP(D634,[1]apoio_Preços_MGS!$A$6:$AN$238,18,FALSE)</f>
        <v>2774.8772597043444</v>
      </c>
      <c r="N634" s="40">
        <f>VLOOKUP(D634,[1]apoio_Preços_MGS!$A$6:$AN$238,19,FALSE)</f>
        <v>0</v>
      </c>
      <c r="O634" s="40">
        <f>VLOOKUP(D634,[1]apoio_Preços_MGS!$A$6:$AN$238,20,FALSE)</f>
        <v>0</v>
      </c>
      <c r="P634" s="40">
        <f>VLOOKUP(D634,[1]apoio_Preços_MGS!$A$6:$AN$238,21,FALSE)</f>
        <v>0</v>
      </c>
      <c r="Q634" s="40">
        <f>VLOOKUP(D634,[1]apoio_Preços_MGS!$A$6:$AN$238,22,FALSE)</f>
        <v>0</v>
      </c>
      <c r="R634" s="40">
        <f>VLOOKUP(D634,[1]apoio_Preços_MGS!$A$6:$AN$238,23,FALSE)</f>
        <v>0</v>
      </c>
      <c r="S634" s="40">
        <f>VLOOKUP(D634,[1]apoio_Preços_MGS!$A$6:$AN$238,24,FALSE)</f>
        <v>0</v>
      </c>
      <c r="T634" s="40">
        <f>VLOOKUP(D634,[1]apoio_Preços_MGS!$A$6:$AN$238,25,FALSE)</f>
        <v>0</v>
      </c>
      <c r="U634" s="40">
        <f t="shared" si="301"/>
        <v>2774.8772597043444</v>
      </c>
      <c r="V634" s="41">
        <f>VLOOKUP(D634,[1]apoio_Preços_MGS!$A$6:$AN$238,27,FALSE)</f>
        <v>0.81799999999999995</v>
      </c>
      <c r="W634" s="40">
        <f t="shared" si="302"/>
        <v>2269.8495984381534</v>
      </c>
      <c r="X634" s="40">
        <f>VLOOKUP(D634,[1]apoio_Preços_MGS!$A$6:$AN$238,29,FALSE)</f>
        <v>33.509646464646472</v>
      </c>
      <c r="Y634" s="40">
        <f>VLOOKUP(D634,[1]apoio_Preços_MGS!$A$6:$AN$238,30,FALSE)</f>
        <v>6.5772863955289598E-2</v>
      </c>
      <c r="Z634" s="40">
        <f t="shared" si="312"/>
        <v>33.575419328601761</v>
      </c>
      <c r="AA634" s="40">
        <f>VLOOKUP(D634,[1]apoio_Preços_MGS!$A$6:$AN$238,32,FALSE)</f>
        <v>5.327764338632341</v>
      </c>
      <c r="AB634" s="40">
        <f>VLOOKUP(D634,[1]apoio_Preços_MGS!$A$6:$AN$238,33,FALSE)</f>
        <v>168.10154139051505</v>
      </c>
      <c r="AC634" s="41">
        <f>VLOOKUP(D634,[1]apoio_Preços_MGS!$A$6:$AN$238,34,FALSE)</f>
        <v>0</v>
      </c>
      <c r="AD634" s="40">
        <f>(U634+W634+Z634+AB634+AA634+VLOOKUP(C634,[1]apoio_Prec_Folha!$A:$S,7,FALSE))*AC634</f>
        <v>0</v>
      </c>
      <c r="AE634" s="42">
        <f>VLOOKUP(D634,[1]apoio_Preços_MGS!$A$6:$AN$238,36,FALSE)</f>
        <v>7.0000000000000007E-2</v>
      </c>
      <c r="AF634" s="40">
        <f>(U634+W634+Z634+AB634+AD634+AA634+VLOOKUP(C634,[1]apoio_Prec_Folha!$A:$S,7,FALSE))*AE634</f>
        <v>406.0375962566946</v>
      </c>
      <c r="AG634" s="40">
        <f t="shared" si="313"/>
        <v>5657.76</v>
      </c>
      <c r="AH634" s="43">
        <f t="shared" si="314"/>
        <v>6521.92</v>
      </c>
      <c r="AI634" s="43">
        <f t="shared" si="315"/>
        <v>130438.39999999999</v>
      </c>
      <c r="AJ634" s="43">
        <f t="shared" si="316"/>
        <v>7826304</v>
      </c>
      <c r="AK634" s="44">
        <f>VLOOKUP(D634,[1]apoio_Preços_MGS!$A$6:$AN$238,39,FALSE)</f>
        <v>181.81818181818184</v>
      </c>
      <c r="AL634" s="44">
        <f>IF(J634="demais municípios",VLOOKUP(D634,[1]apoio_Preços_MGS!$A$6:$AN$238,39,FALSE),0)</f>
        <v>181.81818181818184</v>
      </c>
      <c r="AM634" s="44">
        <v>0</v>
      </c>
      <c r="AN634" s="45">
        <f t="shared" si="325"/>
        <v>3636.3636363636369</v>
      </c>
      <c r="AO634" s="44">
        <f>VLOOKUP(D634,[1]apoio_Preços_MGS!$A$6:$AN$238,40,FALSE)</f>
        <v>548.79999999999995</v>
      </c>
      <c r="AP634" s="44">
        <f>IF(J634="demais municípios",VLOOKUP(D634,[1]apoio_Preços_MGS!$A$6:$AN$238,40,FALSE),0)</f>
        <v>548.79999999999995</v>
      </c>
      <c r="AQ634" s="44">
        <v>0</v>
      </c>
      <c r="AR634" s="45">
        <f t="shared" si="326"/>
        <v>10976</v>
      </c>
      <c r="AS634" s="45">
        <f t="shared" si="303"/>
        <v>14612.363636363636</v>
      </c>
      <c r="AT634" s="45">
        <f t="shared" si="306"/>
        <v>876741.81818181812</v>
      </c>
      <c r="AU634" s="62"/>
      <c r="AV634" s="46"/>
      <c r="AW634" s="47"/>
      <c r="AX634" s="48"/>
      <c r="AY634" s="49"/>
      <c r="BA634" s="48"/>
    </row>
    <row r="635" spans="1:53" ht="19.5" customHeight="1" x14ac:dyDescent="0.25">
      <c r="A635" s="33" t="str">
        <f t="shared" si="304"/>
        <v>105619400,05</v>
      </c>
      <c r="B635" s="33" t="str">
        <f t="shared" si="305"/>
        <v>11970,05</v>
      </c>
      <c r="C635" s="34" t="str">
        <f>VLOOKUP(D635,[1]apoio_Preços_MGS!$A$6:$B$238,2,FALSE)</f>
        <v>SUPORTE ADMINISTRATIVO</v>
      </c>
      <c r="D635" s="35">
        <v>1197</v>
      </c>
      <c r="E635" s="33" t="str">
        <f>VLOOKUP(D635,[1]apoio_Preços_MGS!$A$6:$F$238,6,FALSE)</f>
        <v>SUPORTE ADMINISTRATIVO (COM UNIF.) - DIARISTA DIURNO - 40H</v>
      </c>
      <c r="F635" s="36">
        <f>IFERROR(VLOOKUP(D635,'[1]apoio_cód catmas'!$B$2:$C$863,2,FALSE),0)</f>
        <v>105619</v>
      </c>
      <c r="G635" s="33" t="str">
        <f>IF(H635="N/A",VLOOKUP(F635&amp;40,'[1]apoio_cód catmas'!$A$1:$G$233,4,FALSE),VLOOKUP(F635&amp;H635,'[1]apoio_cód catmas'!$A$1:$G$233,4,FALSE))</f>
        <v>SUPORTE ADMINISTRATIVO COM UNIFORME - 30H, 36H, 40H OU 44H</v>
      </c>
      <c r="H635" s="36">
        <v>40</v>
      </c>
      <c r="I635" s="37">
        <v>0.05</v>
      </c>
      <c r="J635" s="38" t="s">
        <v>46</v>
      </c>
      <c r="K635" s="39">
        <f>284-K636</f>
        <v>17</v>
      </c>
      <c r="L635" s="39">
        <f t="shared" si="307"/>
        <v>1020</v>
      </c>
      <c r="M635" s="40">
        <f>VLOOKUP(D635,[1]apoio_Preços_MGS!$A$6:$AN$238,18,FALSE)</f>
        <v>2774.8772597043444</v>
      </c>
      <c r="N635" s="40">
        <f>VLOOKUP(D635,[1]apoio_Preços_MGS!$A$6:$AN$238,19,FALSE)</f>
        <v>0</v>
      </c>
      <c r="O635" s="40">
        <f>VLOOKUP(D635,[1]apoio_Preços_MGS!$A$6:$AN$238,20,FALSE)</f>
        <v>0</v>
      </c>
      <c r="P635" s="40">
        <f>VLOOKUP(D635,[1]apoio_Preços_MGS!$A$6:$AN$238,21,FALSE)</f>
        <v>0</v>
      </c>
      <c r="Q635" s="40">
        <f>VLOOKUP(D635,[1]apoio_Preços_MGS!$A$6:$AN$238,22,FALSE)</f>
        <v>0</v>
      </c>
      <c r="R635" s="40">
        <f>VLOOKUP(D635,[1]apoio_Preços_MGS!$A$6:$AN$238,23,FALSE)</f>
        <v>0</v>
      </c>
      <c r="S635" s="40">
        <f>VLOOKUP(D635,[1]apoio_Preços_MGS!$A$6:$AN$238,24,FALSE)</f>
        <v>0</v>
      </c>
      <c r="T635" s="40">
        <f>VLOOKUP(D635,[1]apoio_Preços_MGS!$A$6:$AN$238,25,FALSE)</f>
        <v>0</v>
      </c>
      <c r="U635" s="40">
        <f t="shared" si="301"/>
        <v>2774.8772597043444</v>
      </c>
      <c r="V635" s="41">
        <v>0.81799999999999995</v>
      </c>
      <c r="W635" s="40">
        <f t="shared" si="302"/>
        <v>2269.8495984381534</v>
      </c>
      <c r="X635" s="40">
        <f>VLOOKUP(D635,[1]apoio_Preços_MGS!$A$6:$AN$238,29,FALSE)</f>
        <v>33.509646464646472</v>
      </c>
      <c r="Y635" s="40">
        <f>VLOOKUP(D635,[1]apoio_Preços_MGS!$A$6:$AN$238,30,FALSE)</f>
        <v>6.5772863955289598E-2</v>
      </c>
      <c r="Z635" s="40">
        <f t="shared" si="312"/>
        <v>33.575419328601761</v>
      </c>
      <c r="AA635" s="40">
        <f>VLOOKUP(D635,[1]apoio_Preços_MGS!$A$6:$AN$238,32,FALSE)</f>
        <v>5.327764338632341</v>
      </c>
      <c r="AB635" s="40">
        <f>VLOOKUP(D635,[1]apoio_Preços_MGS!$A$6:$AN$238,33,FALSE)</f>
        <v>168.10154139051505</v>
      </c>
      <c r="AC635" s="41">
        <f>VLOOKUP(D635,[1]apoio_Preços_MGS!$A$6:$AN$238,34,FALSE)</f>
        <v>0</v>
      </c>
      <c r="AD635" s="40">
        <f>(U635+W635+Z635+AB635+AA635+VLOOKUP(C635,[1]apoio_Prec_Folha!$A:$S,7,FALSE))*AC635</f>
        <v>0</v>
      </c>
      <c r="AE635" s="42">
        <f>VLOOKUP(D635,[1]apoio_Preços_MGS!$A$6:$AN$238,36,FALSE)</f>
        <v>7.0000000000000007E-2</v>
      </c>
      <c r="AF635" s="40">
        <f>(U635+W635+Z635+AB635+AD635+AA635+VLOOKUP(C635,[1]apoio_Prec_Folha!$A:$S,7,FALSE))*AE635</f>
        <v>406.0375962566946</v>
      </c>
      <c r="AG635" s="40">
        <f t="shared" si="313"/>
        <v>5657.76</v>
      </c>
      <c r="AH635" s="43">
        <f t="shared" si="314"/>
        <v>6597.96</v>
      </c>
      <c r="AI635" s="43">
        <f t="shared" si="315"/>
        <v>112165.32</v>
      </c>
      <c r="AJ635" s="43">
        <f t="shared" si="316"/>
        <v>6729919.2000000002</v>
      </c>
      <c r="AK635" s="44">
        <f>VLOOKUP(D635,[1]apoio_Preços_MGS!$A$6:$AN$238,39,FALSE)</f>
        <v>181.81818181818184</v>
      </c>
      <c r="AL635" s="44">
        <f>IF(J635="demais municípios",VLOOKUP(D635,[1]apoio_Preços_MGS!$A$6:$AN$238,39,FALSE),0)</f>
        <v>181.81818181818184</v>
      </c>
      <c r="AM635" s="44">
        <v>0</v>
      </c>
      <c r="AN635" s="45">
        <f t="shared" si="325"/>
        <v>3090.9090909090914</v>
      </c>
      <c r="AO635" s="44">
        <f>VLOOKUP(D635,[1]apoio_Preços_MGS!$A$6:$AN$238,40,FALSE)</f>
        <v>548.79999999999995</v>
      </c>
      <c r="AP635" s="44">
        <f>IF(J635="demais municípios",VLOOKUP(D635,[1]apoio_Preços_MGS!$A$6:$AN$238,40,FALSE),0)</f>
        <v>548.79999999999995</v>
      </c>
      <c r="AQ635" s="44">
        <v>0</v>
      </c>
      <c r="AR635" s="45">
        <f t="shared" si="326"/>
        <v>9329.5999999999985</v>
      </c>
      <c r="AS635" s="45">
        <f t="shared" si="303"/>
        <v>12420.50909090909</v>
      </c>
      <c r="AT635" s="45">
        <f t="shared" si="306"/>
        <v>745230.54545454541</v>
      </c>
      <c r="AU635" s="62"/>
      <c r="AV635" s="46"/>
      <c r="AW635" s="47"/>
      <c r="AX635" s="48"/>
      <c r="AY635" s="49"/>
      <c r="BA635" s="48"/>
    </row>
    <row r="636" spans="1:53" ht="19.5" customHeight="1" x14ac:dyDescent="0.25">
      <c r="A636" s="33" t="str">
        <f t="shared" si="304"/>
        <v>105619400,05</v>
      </c>
      <c r="B636" s="33" t="str">
        <f t="shared" si="305"/>
        <v>11970,05</v>
      </c>
      <c r="C636" s="34" t="str">
        <f>VLOOKUP(D636,[1]apoio_Preços_MGS!$A$6:$B$238,2,FALSE)</f>
        <v>SUPORTE ADMINISTRATIVO</v>
      </c>
      <c r="D636" s="35">
        <v>1197</v>
      </c>
      <c r="E636" s="33" t="str">
        <f>VLOOKUP(D636,[1]apoio_Preços_MGS!$A$6:$F$238,6,FALSE)</f>
        <v>SUPORTE ADMINISTRATIVO (COM UNIF.) - DIARISTA DIURNO - 40H</v>
      </c>
      <c r="F636" s="36">
        <f>IFERROR(VLOOKUP(D636,'[1]apoio_cód catmas'!$B$2:$C$863,2,FALSE),0)</f>
        <v>105619</v>
      </c>
      <c r="G636" s="33" t="str">
        <f>IF(H636="N/A",VLOOKUP(F636&amp;40,'[1]apoio_cód catmas'!$A$1:$G$233,4,FALSE),VLOOKUP(F636&amp;H636,'[1]apoio_cód catmas'!$A$1:$G$233,4,FALSE))</f>
        <v>SUPORTE ADMINISTRATIVO COM UNIFORME - 30H, 36H, 40H OU 44H</v>
      </c>
      <c r="H636" s="36">
        <v>40</v>
      </c>
      <c r="I636" s="37">
        <v>0.05</v>
      </c>
      <c r="J636" s="38" t="s">
        <v>47</v>
      </c>
      <c r="K636" s="39">
        <v>267</v>
      </c>
      <c r="L636" s="39">
        <f t="shared" si="307"/>
        <v>16020</v>
      </c>
      <c r="M636" s="40">
        <f>VLOOKUP(D636,[1]apoio_Preços_MGS!$A$6:$AN$238,18,FALSE)</f>
        <v>2774.8772597043444</v>
      </c>
      <c r="N636" s="40">
        <f>VLOOKUP(D636,[1]apoio_Preços_MGS!$A$6:$AN$238,19,FALSE)</f>
        <v>0</v>
      </c>
      <c r="O636" s="40">
        <f>VLOOKUP(D636,[1]apoio_Preços_MGS!$A$6:$AN$238,20,FALSE)</f>
        <v>0</v>
      </c>
      <c r="P636" s="40">
        <f>VLOOKUP(D636,[1]apoio_Preços_MGS!$A$6:$AN$238,21,FALSE)</f>
        <v>0</v>
      </c>
      <c r="Q636" s="40">
        <f>VLOOKUP(D636,[1]apoio_Preços_MGS!$A$6:$AN$238,22,FALSE)</f>
        <v>0</v>
      </c>
      <c r="R636" s="40">
        <f>VLOOKUP(D636,[1]apoio_Preços_MGS!$A$6:$AN$238,23,FALSE)</f>
        <v>0</v>
      </c>
      <c r="S636" s="40">
        <f>VLOOKUP(D636,[1]apoio_Preços_MGS!$A$6:$AN$238,24,FALSE)</f>
        <v>0</v>
      </c>
      <c r="T636" s="40">
        <f>VLOOKUP(D636,[1]apoio_Preços_MGS!$A$6:$AN$238,25,FALSE)</f>
        <v>0</v>
      </c>
      <c r="U636" s="40">
        <f t="shared" si="301"/>
        <v>2774.8772597043444</v>
      </c>
      <c r="V636" s="41">
        <v>0.81799999999999995</v>
      </c>
      <c r="W636" s="40">
        <f t="shared" si="302"/>
        <v>2269.8495984381534</v>
      </c>
      <c r="X636" s="40">
        <f>VLOOKUP(D636,[1]apoio_Preços_MGS!$A$6:$AN$238,29,FALSE)</f>
        <v>33.509646464646472</v>
      </c>
      <c r="Y636" s="40">
        <f>VLOOKUP(D636,[1]apoio_Preços_MGS!$A$6:$AN$238,30,FALSE)</f>
        <v>6.5772863955289598E-2</v>
      </c>
      <c r="Z636" s="40">
        <f t="shared" si="312"/>
        <v>33.575419328601761</v>
      </c>
      <c r="AA636" s="40">
        <f>VLOOKUP(D636,[1]apoio_Preços_MGS!$A$6:$AN$238,32,FALSE)</f>
        <v>5.327764338632341</v>
      </c>
      <c r="AB636" s="40">
        <f>VLOOKUP(D636,[1]apoio_Preços_MGS!$A$6:$AN$238,33,FALSE)</f>
        <v>168.10154139051505</v>
      </c>
      <c r="AC636" s="41">
        <f>VLOOKUP(D636,[1]apoio_Preços_MGS!$A$6:$AN$238,34,FALSE)</f>
        <v>0</v>
      </c>
      <c r="AD636" s="40">
        <f>(U636+W636+Z636+AB636+AA636+VLOOKUP(C636,[1]apoio_Prec_Folha!$A:$S,7,FALSE))*AC636</f>
        <v>0</v>
      </c>
      <c r="AE636" s="42">
        <f>VLOOKUP(D636,[1]apoio_Preços_MGS!$A$6:$AN$238,36,FALSE)</f>
        <v>7.0000000000000007E-2</v>
      </c>
      <c r="AF636" s="40">
        <f>(U636+W636+Z636+AB636+AD636+AA636+VLOOKUP(C636,[1]apoio_Prec_Folha!$A:$S,7,FALSE))*AE636</f>
        <v>406.0375962566946</v>
      </c>
      <c r="AG636" s="40">
        <f t="shared" si="313"/>
        <v>5657.76</v>
      </c>
      <c r="AH636" s="43">
        <f t="shared" si="314"/>
        <v>6597.96</v>
      </c>
      <c r="AI636" s="43">
        <f t="shared" si="315"/>
        <v>1761655.32</v>
      </c>
      <c r="AJ636" s="43">
        <f t="shared" si="316"/>
        <v>105699319.2</v>
      </c>
      <c r="AK636" s="44">
        <f>VLOOKUP(D636,[1]apoio_Preços_MGS!$A$6:$AN$238,39,FALSE)</f>
        <v>181.81818181818184</v>
      </c>
      <c r="AL636" s="44">
        <f>IF(J636="demais municípios",VLOOKUP(D636,[1]apoio_Preços_MGS!$A$6:$AN$238,39,FALSE),0)</f>
        <v>0</v>
      </c>
      <c r="AM636" s="44">
        <f>TRUNC(ROUND(($I636)/(1-($I636)),5)*VLOOKUP(D636,[1]apoio_Preços_MGS!$A$6:$AN$238,39,FALSE)+VLOOKUP(D636,[1]apoio_Preços_MGS!$A$6:$AN$238,39,FALSE),2)</f>
        <v>191.38</v>
      </c>
      <c r="AN636" s="45">
        <f t="shared" si="308"/>
        <v>51098.46</v>
      </c>
      <c r="AO636" s="44">
        <f>VLOOKUP(D636,[1]apoio_Preços_MGS!$A$6:$AN$238,40,FALSE)</f>
        <v>548.79999999999995</v>
      </c>
      <c r="AP636" s="44">
        <f>IF(J636="demais municípios",VLOOKUP(D636,[1]apoio_Preços_MGS!$A$6:$AN$238,40,FALSE),0)</f>
        <v>0</v>
      </c>
      <c r="AQ636" s="44">
        <f>TRUNC(ROUND(($I636)/(1-($I636)),5)*VLOOKUP(D636,[1]apoio_Preços_MGS!$A$6:$AN$238,40,FALSE)+VLOOKUP(D636,[1]apoio_Preços_MGS!$A$6:$AN$238,40,FALSE),2)</f>
        <v>577.67999999999995</v>
      </c>
      <c r="AR636" s="45">
        <f t="shared" si="309"/>
        <v>154240.56</v>
      </c>
      <c r="AS636" s="45">
        <f t="shared" si="303"/>
        <v>205339.02</v>
      </c>
      <c r="AT636" s="45">
        <f t="shared" si="306"/>
        <v>12320341.199999999</v>
      </c>
      <c r="AU636" s="62"/>
      <c r="AV636" s="46"/>
      <c r="AW636" s="47"/>
      <c r="AX636" s="48"/>
      <c r="AY636" s="49"/>
      <c r="BA636" s="48"/>
    </row>
    <row r="637" spans="1:53" ht="19.5" customHeight="1" x14ac:dyDescent="0.25">
      <c r="A637" s="33" t="str">
        <f t="shared" si="304"/>
        <v>105619440,05</v>
      </c>
      <c r="B637" s="33" t="str">
        <f t="shared" si="305"/>
        <v>11980,05</v>
      </c>
      <c r="C637" s="34" t="str">
        <f>VLOOKUP(D637,[1]apoio_Preços_MGS!$A$6:$B$238,2,FALSE)</f>
        <v>SUPORTE ADMINISTRATIVO</v>
      </c>
      <c r="D637" s="35">
        <v>1198</v>
      </c>
      <c r="E637" s="33" t="str">
        <f>VLOOKUP(D637,[1]apoio_Preços_MGS!$A$6:$F$238,6,FALSE)</f>
        <v>SUPORTE ADMINISTRATIVO (COM UNIF.) - DIARISTA DIURNO - 44H</v>
      </c>
      <c r="F637" s="36">
        <f>IFERROR(VLOOKUP(D637,'[1]apoio_cód catmas'!$B$2:$C$863,2,FALSE),0)</f>
        <v>105619</v>
      </c>
      <c r="G637" s="33" t="str">
        <f>IF(H637="N/A",VLOOKUP(F637&amp;40,'[1]apoio_cód catmas'!$A$1:$G$233,4,FALSE),VLOOKUP(F637&amp;H637,'[1]apoio_cód catmas'!$A$1:$G$233,4,FALSE))</f>
        <v>SUPORTE ADMINISTRATIVO COM UNIFORME - 30H, 36H, 40H OU 44H</v>
      </c>
      <c r="H637" s="36">
        <v>44</v>
      </c>
      <c r="I637" s="37">
        <v>0.05</v>
      </c>
      <c r="J637" s="38" t="s">
        <v>47</v>
      </c>
      <c r="K637" s="39">
        <v>80</v>
      </c>
      <c r="L637" s="39">
        <f t="shared" si="307"/>
        <v>4800</v>
      </c>
      <c r="M637" s="40">
        <f>VLOOKUP(D637,[1]apoio_Preços_MGS!$A$6:$AN$238,18,FALSE)</f>
        <v>3052.3649856747788</v>
      </c>
      <c r="N637" s="40">
        <f>VLOOKUP(D637,[1]apoio_Preços_MGS!$A$6:$AN$238,19,FALSE)</f>
        <v>0</v>
      </c>
      <c r="O637" s="40">
        <f>VLOOKUP(D637,[1]apoio_Preços_MGS!$A$6:$AN$238,20,FALSE)</f>
        <v>0</v>
      </c>
      <c r="P637" s="40">
        <f>VLOOKUP(D637,[1]apoio_Preços_MGS!$A$6:$AN$238,21,FALSE)</f>
        <v>0</v>
      </c>
      <c r="Q637" s="40">
        <f>VLOOKUP(D637,[1]apoio_Preços_MGS!$A$6:$AN$238,22,FALSE)</f>
        <v>0</v>
      </c>
      <c r="R637" s="40">
        <f>VLOOKUP(D637,[1]apoio_Preços_MGS!$A$6:$AN$238,23,FALSE)</f>
        <v>0</v>
      </c>
      <c r="S637" s="40">
        <f>VLOOKUP(D637,[1]apoio_Preços_MGS!$A$6:$AN$238,24,FALSE)</f>
        <v>0</v>
      </c>
      <c r="T637" s="40">
        <f>VLOOKUP(D637,[1]apoio_Preços_MGS!$A$6:$AN$238,25,FALSE)</f>
        <v>0</v>
      </c>
      <c r="U637" s="40">
        <f t="shared" si="301"/>
        <v>3052.3649856747788</v>
      </c>
      <c r="V637" s="41">
        <v>0.81799999999999995</v>
      </c>
      <c r="W637" s="40">
        <f t="shared" si="302"/>
        <v>2496.8345582819688</v>
      </c>
      <c r="X637" s="40">
        <f>VLOOKUP(D637,[1]apoio_Preços_MGS!$A$6:$AN$238,29,FALSE)</f>
        <v>33.509646464646472</v>
      </c>
      <c r="Y637" s="40">
        <f>VLOOKUP(D637,[1]apoio_Preços_MGS!$A$6:$AN$238,30,FALSE)</f>
        <v>6.5772863955289598E-2</v>
      </c>
      <c r="Z637" s="40">
        <f t="shared" si="312"/>
        <v>33.575419328601761</v>
      </c>
      <c r="AA637" s="40">
        <f>VLOOKUP(D637,[1]apoio_Preços_MGS!$A$6:$AN$238,32,FALSE)</f>
        <v>5.8605407724955745</v>
      </c>
      <c r="AB637" s="40">
        <f>VLOOKUP(D637,[1]apoio_Preços_MGS!$A$6:$AN$238,33,FALSE)</f>
        <v>157.48825098563077</v>
      </c>
      <c r="AC637" s="41">
        <f>VLOOKUP(D637,[1]apoio_Preços_MGS!$A$6:$AN$238,34,FALSE)</f>
        <v>0</v>
      </c>
      <c r="AD637" s="40">
        <f>(U637+W637+Z637+AB637+AA637+VLOOKUP(C637,[1]apoio_Prec_Folha!$A:$S,7,FALSE))*AC637</f>
        <v>0</v>
      </c>
      <c r="AE637" s="42">
        <f>VLOOKUP(D637,[1]apoio_Preços_MGS!$A$6:$AN$238,36,FALSE)</f>
        <v>7.0000000000000007E-2</v>
      </c>
      <c r="AF637" s="40">
        <f>(U637+W637+Z637+AB637+AD637+AA637+VLOOKUP(C637,[1]apoio_Prec_Folha!$A:$S,7,FALSE))*AE637</f>
        <v>440.64504828572052</v>
      </c>
      <c r="AG637" s="40">
        <f t="shared" si="313"/>
        <v>6186.76</v>
      </c>
      <c r="AH637" s="43">
        <f t="shared" si="314"/>
        <v>7214.87</v>
      </c>
      <c r="AI637" s="43">
        <f t="shared" si="315"/>
        <v>577189.6</v>
      </c>
      <c r="AJ637" s="43">
        <f t="shared" si="316"/>
        <v>34631376</v>
      </c>
      <c r="AK637" s="44">
        <f>VLOOKUP(D637,[1]apoio_Preços_MGS!$A$6:$AN$238,39,FALSE)</f>
        <v>200.00000000000003</v>
      </c>
      <c r="AL637" s="44">
        <f>IF(J637="demais municípios",VLOOKUP(D637,[1]apoio_Preços_MGS!$A$6:$AN$238,39,FALSE),0)</f>
        <v>0</v>
      </c>
      <c r="AM637" s="44">
        <f>TRUNC(ROUND(($I637)/(1-($I637)),5)*VLOOKUP(D637,[1]apoio_Preços_MGS!$A$6:$AN$238,39,FALSE)+VLOOKUP(D637,[1]apoio_Preços_MGS!$A$6:$AN$238,39,FALSE),2)</f>
        <v>210.52</v>
      </c>
      <c r="AN637" s="45">
        <f t="shared" si="308"/>
        <v>16841.600000000002</v>
      </c>
      <c r="AO637" s="44">
        <f>VLOOKUP(D637,[1]apoio_Preços_MGS!$A$6:$AN$238,40,FALSE)</f>
        <v>548.79999999999995</v>
      </c>
      <c r="AP637" s="44">
        <f>IF(J637="demais municípios",VLOOKUP(D637,[1]apoio_Preços_MGS!$A$6:$AN$238,40,FALSE),0)</f>
        <v>0</v>
      </c>
      <c r="AQ637" s="44">
        <f>TRUNC(ROUND(($I637)/(1-($I637)),5)*VLOOKUP(D637,[1]apoio_Preços_MGS!$A$6:$AN$238,40,FALSE)+VLOOKUP(D637,[1]apoio_Preços_MGS!$A$6:$AN$238,40,FALSE),2)</f>
        <v>577.67999999999995</v>
      </c>
      <c r="AR637" s="45">
        <f t="shared" si="309"/>
        <v>46214.399999999994</v>
      </c>
      <c r="AS637" s="45">
        <f t="shared" si="303"/>
        <v>63056</v>
      </c>
      <c r="AT637" s="45">
        <f t="shared" si="306"/>
        <v>3783360</v>
      </c>
      <c r="AU637" s="62"/>
      <c r="AV637" s="46"/>
      <c r="AW637" s="47"/>
      <c r="AX637" s="48"/>
      <c r="AY637" s="49"/>
      <c r="BA637" s="48"/>
    </row>
    <row r="638" spans="1:53" ht="19.5" customHeight="1" x14ac:dyDescent="0.25">
      <c r="A638" s="33" t="str">
        <f t="shared" si="304"/>
        <v>63827440,02</v>
      </c>
      <c r="B638" s="33" t="str">
        <f t="shared" si="305"/>
        <v>670,02</v>
      </c>
      <c r="C638" s="34" t="str">
        <f>VLOOKUP(D638,[1]apoio_Preços_MGS!$A$6:$B$238,2,FALSE)</f>
        <v>SUPORTE ADMINISTRATIVO</v>
      </c>
      <c r="D638" s="35">
        <v>67</v>
      </c>
      <c r="E638" s="33" t="str">
        <f>VLOOKUP(D638,[1]apoio_Preços_MGS!$A$6:$F$238,6,FALSE)</f>
        <v>SUPORTE ADMINISTRATIVO - 12x36 DIURNO - 44H</v>
      </c>
      <c r="F638" s="36">
        <f>IFERROR(VLOOKUP(D638,'[1]apoio_cód catmas'!$B$2:$C$863,2,FALSE),0)</f>
        <v>63827</v>
      </c>
      <c r="G638" s="33" t="str">
        <f>IF(H638="N/A",VLOOKUP(F638&amp;40,'[1]apoio_cód catmas'!$A$1:$G$233,4,FALSE),VLOOKUP(F638&amp;H638,'[1]apoio_cód catmas'!$A$1:$G$233,4,FALSE))</f>
        <v>SUPORTE ADMINISTRATIVO, 12X36, DIURNO - 44H</v>
      </c>
      <c r="H638" s="36">
        <v>44</v>
      </c>
      <c r="I638" s="37">
        <v>0.02</v>
      </c>
      <c r="J638" s="38" t="s">
        <v>46</v>
      </c>
      <c r="K638" s="39">
        <v>12</v>
      </c>
      <c r="L638" s="39">
        <f t="shared" si="307"/>
        <v>720</v>
      </c>
      <c r="M638" s="40">
        <f>VLOOKUP(D638,[1]apoio_Preços_MGS!$A$6:$AN$238,18,FALSE)</f>
        <v>3052.3649856747788</v>
      </c>
      <c r="N638" s="40">
        <f>VLOOKUP(D638,[1]apoio_Preços_MGS!$A$6:$AN$238,19,FALSE)</f>
        <v>0</v>
      </c>
      <c r="O638" s="40">
        <f>VLOOKUP(D638,[1]apoio_Preços_MGS!$A$6:$AN$238,20,FALSE)</f>
        <v>0</v>
      </c>
      <c r="P638" s="40">
        <f>VLOOKUP(D638,[1]apoio_Preços_MGS!$A$6:$AN$238,21,FALSE)</f>
        <v>0</v>
      </c>
      <c r="Q638" s="40">
        <f>VLOOKUP(D638,[1]apoio_Preços_MGS!$A$6:$AN$238,22,FALSE)</f>
        <v>0</v>
      </c>
      <c r="R638" s="40">
        <f>VLOOKUP(D638,[1]apoio_Preços_MGS!$A$6:$AN$238,23,FALSE)</f>
        <v>0</v>
      </c>
      <c r="S638" s="40">
        <f>VLOOKUP(D638,[1]apoio_Preços_MGS!$A$6:$AN$238,24,FALSE)</f>
        <v>0</v>
      </c>
      <c r="T638" s="40">
        <f>VLOOKUP(D638,[1]apoio_Preços_MGS!$A$6:$AN$238,25,FALSE)</f>
        <v>4.2393958134371923</v>
      </c>
      <c r="U638" s="40">
        <f t="shared" si="301"/>
        <v>3056.6043814882159</v>
      </c>
      <c r="V638" s="41">
        <v>0.81799999999999995</v>
      </c>
      <c r="W638" s="40">
        <f t="shared" si="302"/>
        <v>2500.3023840573605</v>
      </c>
      <c r="X638" s="40">
        <f>VLOOKUP(D638,[1]apoio_Preços_MGS!$A$6:$AN$238,29,FALSE)</f>
        <v>0</v>
      </c>
      <c r="Y638" s="40">
        <f>VLOOKUP(D638,[1]apoio_Preços_MGS!$A$6:$AN$238,30,FALSE)</f>
        <v>6.5772863955289598E-2</v>
      </c>
      <c r="Z638" s="40">
        <f t="shared" si="312"/>
        <v>6.5772863955289598E-2</v>
      </c>
      <c r="AA638" s="40">
        <f>VLOOKUP(D638,[1]apoio_Preços_MGS!$A$6:$AN$238,32,FALSE)</f>
        <v>5.8605407724955745</v>
      </c>
      <c r="AB638" s="40">
        <f>VLOOKUP(D638,[1]apoio_Preços_MGS!$A$6:$AN$238,33,FALSE)</f>
        <v>157.48825098563077</v>
      </c>
      <c r="AC638" s="41">
        <f>VLOOKUP(D638,[1]apoio_Preços_MGS!$A$6:$AN$238,34,FALSE)</f>
        <v>0</v>
      </c>
      <c r="AD638" s="40">
        <f>(U638+W638+Z638+AB638+AA638+VLOOKUP(C638,[1]apoio_Prec_Folha!$A:$S,7,FALSE))*AC638</f>
        <v>0</v>
      </c>
      <c r="AE638" s="42">
        <f>VLOOKUP(D638,[1]apoio_Preços_MGS!$A$6:$AN$238,36,FALSE)</f>
        <v>7.0000000000000007E-2</v>
      </c>
      <c r="AF638" s="40">
        <f>(U638+W638+Z638+AB638+AD638+AA638+VLOOKUP(C638,[1]apoio_Prec_Folha!$A:$S,7,FALSE))*AE638</f>
        <v>438.83887854441326</v>
      </c>
      <c r="AG638" s="40">
        <f t="shared" si="313"/>
        <v>6159.16</v>
      </c>
      <c r="AH638" s="43">
        <f t="shared" si="314"/>
        <v>6939.89</v>
      </c>
      <c r="AI638" s="43">
        <f t="shared" si="315"/>
        <v>83278.680000000008</v>
      </c>
      <c r="AJ638" s="43">
        <f t="shared" si="316"/>
        <v>4996720.8</v>
      </c>
      <c r="AK638" s="44">
        <f>VLOOKUP(D638,[1]apoio_Preços_MGS!$A$6:$AN$238,39,FALSE)</f>
        <v>200.00000000000003</v>
      </c>
      <c r="AL638" s="44">
        <f>IF(J638="demais municípios",VLOOKUP(D638,[1]apoio_Preços_MGS!$A$6:$AN$238,39,FALSE),0)</f>
        <v>200.00000000000003</v>
      </c>
      <c r="AM638" s="44">
        <v>0</v>
      </c>
      <c r="AN638" s="45">
        <f t="shared" ref="AN638:AN641" si="327">AK638*K638</f>
        <v>2400.0000000000005</v>
      </c>
      <c r="AO638" s="44">
        <f>VLOOKUP(D638,[1]apoio_Preços_MGS!$A$6:$AN$238,40,FALSE)</f>
        <v>548.79999999999995</v>
      </c>
      <c r="AP638" s="44">
        <f>IF(J638="demais municípios",VLOOKUP(D638,[1]apoio_Preços_MGS!$A$6:$AN$238,40,FALSE),0)</f>
        <v>548.79999999999995</v>
      </c>
      <c r="AQ638" s="44">
        <v>0</v>
      </c>
      <c r="AR638" s="45">
        <f t="shared" ref="AR638:AR641" si="328">AO638*K638</f>
        <v>6585.5999999999995</v>
      </c>
      <c r="AS638" s="45">
        <f t="shared" si="303"/>
        <v>8985.6</v>
      </c>
      <c r="AT638" s="45">
        <f t="shared" si="306"/>
        <v>539136</v>
      </c>
      <c r="AU638" s="62"/>
      <c r="AV638" s="46"/>
      <c r="AW638" s="47"/>
      <c r="AX638" s="48"/>
      <c r="AY638" s="49"/>
      <c r="BA638" s="48"/>
    </row>
    <row r="639" spans="1:53" ht="19.5" customHeight="1" x14ac:dyDescent="0.25">
      <c r="A639" s="33" t="str">
        <f t="shared" si="304"/>
        <v>63827440,03</v>
      </c>
      <c r="B639" s="33" t="str">
        <f t="shared" si="305"/>
        <v>670,03</v>
      </c>
      <c r="C639" s="34" t="str">
        <f>VLOOKUP(D639,[1]apoio_Preços_MGS!$A$6:$B$238,2,FALSE)</f>
        <v>SUPORTE ADMINISTRATIVO</v>
      </c>
      <c r="D639" s="35">
        <v>67</v>
      </c>
      <c r="E639" s="33" t="str">
        <f>VLOOKUP(D639,[1]apoio_Preços_MGS!$A$6:$F$238,6,FALSE)</f>
        <v>SUPORTE ADMINISTRATIVO - 12x36 DIURNO - 44H</v>
      </c>
      <c r="F639" s="36">
        <f>IFERROR(VLOOKUP(D639,'[1]apoio_cód catmas'!$B$2:$C$863,2,FALSE),0)</f>
        <v>63827</v>
      </c>
      <c r="G639" s="33" t="str">
        <f>IF(H639="N/A",VLOOKUP(F639&amp;40,'[1]apoio_cód catmas'!$A$1:$G$233,4,FALSE),VLOOKUP(F639&amp;H639,'[1]apoio_cód catmas'!$A$1:$G$233,4,FALSE))</f>
        <v>SUPORTE ADMINISTRATIVO, 12X36, DIURNO - 44H</v>
      </c>
      <c r="H639" s="36">
        <v>44</v>
      </c>
      <c r="I639" s="37">
        <v>0.03</v>
      </c>
      <c r="J639" s="38" t="s">
        <v>46</v>
      </c>
      <c r="K639" s="39">
        <v>10</v>
      </c>
      <c r="L639" s="39">
        <f t="shared" si="307"/>
        <v>600</v>
      </c>
      <c r="M639" s="40">
        <f>VLOOKUP(D639,[1]apoio_Preços_MGS!$A$6:$AN$238,18,FALSE)</f>
        <v>3052.3649856747788</v>
      </c>
      <c r="N639" s="40">
        <f>VLOOKUP(D639,[1]apoio_Preços_MGS!$A$6:$AN$238,19,FALSE)</f>
        <v>0</v>
      </c>
      <c r="O639" s="40">
        <f>VLOOKUP(D639,[1]apoio_Preços_MGS!$A$6:$AN$238,20,FALSE)</f>
        <v>0</v>
      </c>
      <c r="P639" s="40">
        <f>VLOOKUP(D639,[1]apoio_Preços_MGS!$A$6:$AN$238,21,FALSE)</f>
        <v>0</v>
      </c>
      <c r="Q639" s="40">
        <f>VLOOKUP(D639,[1]apoio_Preços_MGS!$A$6:$AN$238,22,FALSE)</f>
        <v>0</v>
      </c>
      <c r="R639" s="40">
        <f>VLOOKUP(D639,[1]apoio_Preços_MGS!$A$6:$AN$238,23,FALSE)</f>
        <v>0</v>
      </c>
      <c r="S639" s="40">
        <f>VLOOKUP(D639,[1]apoio_Preços_MGS!$A$6:$AN$238,24,FALSE)</f>
        <v>0</v>
      </c>
      <c r="T639" s="40">
        <f>VLOOKUP(D639,[1]apoio_Preços_MGS!$A$6:$AN$238,25,FALSE)</f>
        <v>4.2393958134371923</v>
      </c>
      <c r="U639" s="40">
        <f t="shared" si="301"/>
        <v>3056.6043814882159</v>
      </c>
      <c r="V639" s="41">
        <f>VLOOKUP(D639,[1]apoio_Preços_MGS!$A$6:$AN$238,27,FALSE)</f>
        <v>0.81799999999999995</v>
      </c>
      <c r="W639" s="40">
        <f t="shared" si="302"/>
        <v>2500.3023840573605</v>
      </c>
      <c r="X639" s="40">
        <f>VLOOKUP(D639,[1]apoio_Preços_MGS!$A$6:$AN$238,29,FALSE)</f>
        <v>0</v>
      </c>
      <c r="Y639" s="40">
        <f>VLOOKUP(D639,[1]apoio_Preços_MGS!$A$6:$AN$238,30,FALSE)</f>
        <v>6.5772863955289598E-2</v>
      </c>
      <c r="Z639" s="40">
        <f t="shared" si="312"/>
        <v>6.5772863955289598E-2</v>
      </c>
      <c r="AA639" s="40">
        <f>VLOOKUP(D639,[1]apoio_Preços_MGS!$A$6:$AN$238,32,FALSE)</f>
        <v>5.8605407724955745</v>
      </c>
      <c r="AB639" s="40">
        <f>VLOOKUP(D639,[1]apoio_Preços_MGS!$A$6:$AN$238,33,FALSE)</f>
        <v>157.48825098563077</v>
      </c>
      <c r="AC639" s="41">
        <f>VLOOKUP(D639,[1]apoio_Preços_MGS!$A$6:$AN$238,34,FALSE)</f>
        <v>0</v>
      </c>
      <c r="AD639" s="40">
        <f>(U639+W639+Z639+AB639+AA639+VLOOKUP(C639,[1]apoio_Prec_Folha!$A:$S,7,FALSE))*AC639</f>
        <v>0</v>
      </c>
      <c r="AE639" s="42">
        <f>VLOOKUP(D639,[1]apoio_Preços_MGS!$A$6:$AN$238,36,FALSE)</f>
        <v>7.0000000000000007E-2</v>
      </c>
      <c r="AF639" s="40">
        <f>(U639+W639+Z639+AB639+AD639+AA639+VLOOKUP(C639,[1]apoio_Prec_Folha!$A:$S,7,FALSE))*AE639</f>
        <v>438.83887854441326</v>
      </c>
      <c r="AG639" s="40">
        <f t="shared" si="313"/>
        <v>6159.16</v>
      </c>
      <c r="AH639" s="43">
        <f t="shared" si="314"/>
        <v>7018.97</v>
      </c>
      <c r="AI639" s="43">
        <f t="shared" si="315"/>
        <v>70189.7</v>
      </c>
      <c r="AJ639" s="43">
        <f t="shared" si="316"/>
        <v>4211382</v>
      </c>
      <c r="AK639" s="44">
        <f>VLOOKUP(D639,[1]apoio_Preços_MGS!$A$6:$AN$238,39,FALSE)</f>
        <v>200.00000000000003</v>
      </c>
      <c r="AL639" s="44">
        <f>IF(J639="demais municípios",VLOOKUP(D639,[1]apoio_Preços_MGS!$A$6:$AN$238,39,FALSE),0)</f>
        <v>200.00000000000003</v>
      </c>
      <c r="AM639" s="44">
        <v>0</v>
      </c>
      <c r="AN639" s="45">
        <f t="shared" si="327"/>
        <v>2000.0000000000002</v>
      </c>
      <c r="AO639" s="44">
        <f>VLOOKUP(D639,[1]apoio_Preços_MGS!$A$6:$AN$238,40,FALSE)</f>
        <v>548.79999999999995</v>
      </c>
      <c r="AP639" s="44">
        <f>IF(J639="demais municípios",VLOOKUP(D639,[1]apoio_Preços_MGS!$A$6:$AN$238,40,FALSE),0)</f>
        <v>548.79999999999995</v>
      </c>
      <c r="AQ639" s="44">
        <v>0</v>
      </c>
      <c r="AR639" s="45">
        <f t="shared" si="328"/>
        <v>5488</v>
      </c>
      <c r="AS639" s="45">
        <f t="shared" si="303"/>
        <v>7488</v>
      </c>
      <c r="AT639" s="45">
        <f t="shared" si="306"/>
        <v>449280</v>
      </c>
      <c r="AU639" s="62"/>
      <c r="AV639" s="46"/>
      <c r="AW639" s="47"/>
      <c r="AX639" s="48"/>
      <c r="AY639" s="49"/>
      <c r="BA639" s="48"/>
    </row>
    <row r="640" spans="1:53" ht="19.5" customHeight="1" x14ac:dyDescent="0.25">
      <c r="A640" s="33" t="str">
        <f t="shared" si="304"/>
        <v>63827440,035</v>
      </c>
      <c r="B640" s="33" t="str">
        <f t="shared" si="305"/>
        <v>670,035</v>
      </c>
      <c r="C640" s="34" t="str">
        <f>VLOOKUP(D640,[1]apoio_Preços_MGS!$A$6:$B$238,2,FALSE)</f>
        <v>SUPORTE ADMINISTRATIVO</v>
      </c>
      <c r="D640" s="35">
        <v>67</v>
      </c>
      <c r="E640" s="33" t="str">
        <f>VLOOKUP(D640,[1]apoio_Preços_MGS!$A$6:$F$238,6,FALSE)</f>
        <v>SUPORTE ADMINISTRATIVO - 12x36 DIURNO - 44H</v>
      </c>
      <c r="F640" s="36">
        <f>IFERROR(VLOOKUP(D640,'[1]apoio_cód catmas'!$B$2:$C$863,2,FALSE),0)</f>
        <v>63827</v>
      </c>
      <c r="G640" s="33" t="str">
        <f>IF(H640="N/A",VLOOKUP(F640&amp;40,'[1]apoio_cód catmas'!$A$1:$G$233,4,FALSE),VLOOKUP(F640&amp;H640,'[1]apoio_cód catmas'!$A$1:$G$233,4,FALSE))</f>
        <v>SUPORTE ADMINISTRATIVO, 12X36, DIURNO - 44H</v>
      </c>
      <c r="H640" s="36">
        <v>44</v>
      </c>
      <c r="I640" s="37">
        <v>3.5000000000000003E-2</v>
      </c>
      <c r="J640" s="38" t="s">
        <v>46</v>
      </c>
      <c r="K640" s="39">
        <v>2</v>
      </c>
      <c r="L640" s="39">
        <f t="shared" si="307"/>
        <v>120</v>
      </c>
      <c r="M640" s="40">
        <f>VLOOKUP(D640,[1]apoio_Preços_MGS!$A$6:$AN$238,18,FALSE)</f>
        <v>3052.3649856747788</v>
      </c>
      <c r="N640" s="40">
        <f>VLOOKUP(D640,[1]apoio_Preços_MGS!$A$6:$AN$238,19,FALSE)</f>
        <v>0</v>
      </c>
      <c r="O640" s="40">
        <f>VLOOKUP(D640,[1]apoio_Preços_MGS!$A$6:$AN$238,20,FALSE)</f>
        <v>0</v>
      </c>
      <c r="P640" s="40">
        <f>VLOOKUP(D640,[1]apoio_Preços_MGS!$A$6:$AN$238,21,FALSE)</f>
        <v>0</v>
      </c>
      <c r="Q640" s="40">
        <f>VLOOKUP(D640,[1]apoio_Preços_MGS!$A$6:$AN$238,22,FALSE)</f>
        <v>0</v>
      </c>
      <c r="R640" s="40">
        <f>VLOOKUP(D640,[1]apoio_Preços_MGS!$A$6:$AN$238,23,FALSE)</f>
        <v>0</v>
      </c>
      <c r="S640" s="40">
        <f>VLOOKUP(D640,[1]apoio_Preços_MGS!$A$6:$AN$238,24,FALSE)</f>
        <v>0</v>
      </c>
      <c r="T640" s="40">
        <f>VLOOKUP(D640,[1]apoio_Preços_MGS!$A$6:$AN$238,25,FALSE)</f>
        <v>4.2393958134371923</v>
      </c>
      <c r="U640" s="40">
        <f t="shared" si="301"/>
        <v>3056.6043814882159</v>
      </c>
      <c r="V640" s="41">
        <f>VLOOKUP(D640,[1]apoio_Preços_MGS!$A$6:$AN$238,27,FALSE)</f>
        <v>0.81799999999999995</v>
      </c>
      <c r="W640" s="40">
        <f t="shared" si="302"/>
        <v>2500.3023840573605</v>
      </c>
      <c r="X640" s="40">
        <f>VLOOKUP(D640,[1]apoio_Preços_MGS!$A$6:$AN$238,29,FALSE)</f>
        <v>0</v>
      </c>
      <c r="Y640" s="40">
        <f>VLOOKUP(D640,[1]apoio_Preços_MGS!$A$6:$AN$238,30,FALSE)</f>
        <v>6.5772863955289598E-2</v>
      </c>
      <c r="Z640" s="40">
        <f t="shared" si="312"/>
        <v>6.5772863955289598E-2</v>
      </c>
      <c r="AA640" s="40">
        <f>VLOOKUP(D640,[1]apoio_Preços_MGS!$A$6:$AN$238,32,FALSE)</f>
        <v>5.8605407724955745</v>
      </c>
      <c r="AB640" s="40">
        <f>VLOOKUP(D640,[1]apoio_Preços_MGS!$A$6:$AN$238,33,FALSE)</f>
        <v>157.48825098563077</v>
      </c>
      <c r="AC640" s="41">
        <f>VLOOKUP(D640,[1]apoio_Preços_MGS!$A$6:$AN$238,34,FALSE)</f>
        <v>0</v>
      </c>
      <c r="AD640" s="40">
        <f>(U640+W640+Z640+AB640+AA640+VLOOKUP(C640,[1]apoio_Prec_Folha!$A:$S,7,FALSE))*AC640</f>
        <v>0</v>
      </c>
      <c r="AE640" s="42">
        <f>VLOOKUP(D640,[1]apoio_Preços_MGS!$A$6:$AN$238,36,FALSE)</f>
        <v>7.0000000000000007E-2</v>
      </c>
      <c r="AF640" s="40">
        <f>(U640+W640+Z640+AB640+AD640+AA640+VLOOKUP(C640,[1]apoio_Prec_Folha!$A:$S,7,FALSE))*AE640</f>
        <v>438.83887854441326</v>
      </c>
      <c r="AG640" s="40">
        <f t="shared" si="313"/>
        <v>6159.16</v>
      </c>
      <c r="AH640" s="43">
        <f t="shared" si="314"/>
        <v>7059.19</v>
      </c>
      <c r="AI640" s="43">
        <f t="shared" si="315"/>
        <v>14118.38</v>
      </c>
      <c r="AJ640" s="43">
        <f t="shared" si="316"/>
        <v>847102.79999999993</v>
      </c>
      <c r="AK640" s="44">
        <f>VLOOKUP(D640,[1]apoio_Preços_MGS!$A$6:$AN$238,39,FALSE)</f>
        <v>200.00000000000003</v>
      </c>
      <c r="AL640" s="44">
        <f>IF(J640="demais municípios",VLOOKUP(D640,[1]apoio_Preços_MGS!$A$6:$AN$238,39,FALSE),0)</f>
        <v>200.00000000000003</v>
      </c>
      <c r="AM640" s="44">
        <v>0</v>
      </c>
      <c r="AN640" s="45">
        <f t="shared" si="327"/>
        <v>400.00000000000006</v>
      </c>
      <c r="AO640" s="44">
        <f>VLOOKUP(D640,[1]apoio_Preços_MGS!$A$6:$AN$238,40,FALSE)</f>
        <v>548.79999999999995</v>
      </c>
      <c r="AP640" s="44">
        <f>IF(J640="demais municípios",VLOOKUP(D640,[1]apoio_Preços_MGS!$A$6:$AN$238,40,FALSE),0)</f>
        <v>548.79999999999995</v>
      </c>
      <c r="AQ640" s="44">
        <v>0</v>
      </c>
      <c r="AR640" s="45">
        <f t="shared" si="328"/>
        <v>1097.5999999999999</v>
      </c>
      <c r="AS640" s="45">
        <f t="shared" si="303"/>
        <v>1497.6</v>
      </c>
      <c r="AT640" s="45">
        <f t="shared" si="306"/>
        <v>89856</v>
      </c>
      <c r="AU640" s="62"/>
      <c r="AV640" s="46"/>
      <c r="AW640" s="47"/>
      <c r="AX640" s="48"/>
      <c r="AY640" s="49"/>
      <c r="BA640" s="48"/>
    </row>
    <row r="641" spans="1:53" ht="19.5" customHeight="1" x14ac:dyDescent="0.25">
      <c r="A641" s="33" t="str">
        <f t="shared" si="304"/>
        <v>63827440,05</v>
      </c>
      <c r="B641" s="33" t="str">
        <f t="shared" si="305"/>
        <v>670,05</v>
      </c>
      <c r="C641" s="34" t="str">
        <f>VLOOKUP(D641,[1]apoio_Preços_MGS!$A$6:$B$238,2,FALSE)</f>
        <v>SUPORTE ADMINISTRATIVO</v>
      </c>
      <c r="D641" s="35">
        <v>67</v>
      </c>
      <c r="E641" s="33" t="str">
        <f>VLOOKUP(D641,[1]apoio_Preços_MGS!$A$6:$F$238,6,FALSE)</f>
        <v>SUPORTE ADMINISTRATIVO - 12x36 DIURNO - 44H</v>
      </c>
      <c r="F641" s="36">
        <f>IFERROR(VLOOKUP(D641,'[1]apoio_cód catmas'!$B$2:$C$863,2,FALSE),0)</f>
        <v>63827</v>
      </c>
      <c r="G641" s="33" t="str">
        <f>IF(H641="N/A",VLOOKUP(F641&amp;40,'[1]apoio_cód catmas'!$A$1:$G$233,4,FALSE),VLOOKUP(F641&amp;H641,'[1]apoio_cód catmas'!$A$1:$G$233,4,FALSE))</f>
        <v>SUPORTE ADMINISTRATIVO, 12X36, DIURNO - 44H</v>
      </c>
      <c r="H641" s="36">
        <v>44</v>
      </c>
      <c r="I641" s="37">
        <v>0.05</v>
      </c>
      <c r="J641" s="38" t="s">
        <v>46</v>
      </c>
      <c r="K641" s="39">
        <f>55-K642</f>
        <v>4</v>
      </c>
      <c r="L641" s="39">
        <f t="shared" si="307"/>
        <v>240</v>
      </c>
      <c r="M641" s="40">
        <f>VLOOKUP(D641,[1]apoio_Preços_MGS!$A$6:$AN$238,18,FALSE)</f>
        <v>3052.3649856747788</v>
      </c>
      <c r="N641" s="40">
        <f>VLOOKUP(D641,[1]apoio_Preços_MGS!$A$6:$AN$238,19,FALSE)</f>
        <v>0</v>
      </c>
      <c r="O641" s="40">
        <f>VLOOKUP(D641,[1]apoio_Preços_MGS!$A$6:$AN$238,20,FALSE)</f>
        <v>0</v>
      </c>
      <c r="P641" s="40">
        <f>VLOOKUP(D641,[1]apoio_Preços_MGS!$A$6:$AN$238,21,FALSE)</f>
        <v>0</v>
      </c>
      <c r="Q641" s="40">
        <f>VLOOKUP(D641,[1]apoio_Preços_MGS!$A$6:$AN$238,22,FALSE)</f>
        <v>0</v>
      </c>
      <c r="R641" s="40">
        <f>VLOOKUP(D641,[1]apoio_Preços_MGS!$A$6:$AN$238,23,FALSE)</f>
        <v>0</v>
      </c>
      <c r="S641" s="40">
        <f>VLOOKUP(D641,[1]apoio_Preços_MGS!$A$6:$AN$238,24,FALSE)</f>
        <v>0</v>
      </c>
      <c r="T641" s="40">
        <f>VLOOKUP(D641,[1]apoio_Preços_MGS!$A$6:$AN$238,25,FALSE)</f>
        <v>4.2393958134371923</v>
      </c>
      <c r="U641" s="40">
        <f t="shared" si="301"/>
        <v>3056.6043814882159</v>
      </c>
      <c r="V641" s="41">
        <f>VLOOKUP(D641,[1]apoio_Preços_MGS!$A$6:$AN$238,27,FALSE)</f>
        <v>0.81799999999999995</v>
      </c>
      <c r="W641" s="40">
        <f t="shared" si="302"/>
        <v>2500.3023840573605</v>
      </c>
      <c r="X641" s="40">
        <f>VLOOKUP(D641,[1]apoio_Preços_MGS!$A$6:$AN$238,29,FALSE)</f>
        <v>0</v>
      </c>
      <c r="Y641" s="40">
        <f>VLOOKUP(D641,[1]apoio_Preços_MGS!$A$6:$AN$238,30,FALSE)</f>
        <v>6.5772863955289598E-2</v>
      </c>
      <c r="Z641" s="40">
        <f t="shared" si="312"/>
        <v>6.5772863955289598E-2</v>
      </c>
      <c r="AA641" s="40">
        <f>VLOOKUP(D641,[1]apoio_Preços_MGS!$A$6:$AN$238,32,FALSE)</f>
        <v>5.8605407724955745</v>
      </c>
      <c r="AB641" s="40">
        <f>VLOOKUP(D641,[1]apoio_Preços_MGS!$A$6:$AN$238,33,FALSE)</f>
        <v>157.48825098563077</v>
      </c>
      <c r="AC641" s="41">
        <f>VLOOKUP(D641,[1]apoio_Preços_MGS!$A$6:$AN$238,34,FALSE)</f>
        <v>0</v>
      </c>
      <c r="AD641" s="40">
        <f>(U641+W641+Z641+AB641+AA641+VLOOKUP(C641,[1]apoio_Prec_Folha!$A:$S,7,FALSE))*AC641</f>
        <v>0</v>
      </c>
      <c r="AE641" s="42">
        <f>VLOOKUP(D641,[1]apoio_Preços_MGS!$A$6:$AN$238,36,FALSE)</f>
        <v>7.0000000000000007E-2</v>
      </c>
      <c r="AF641" s="40">
        <f>(U641+W641+Z641+AB641+AD641+AA641+VLOOKUP(C641,[1]apoio_Prec_Folha!$A:$S,7,FALSE))*AE641</f>
        <v>438.83887854441326</v>
      </c>
      <c r="AG641" s="40">
        <f t="shared" si="313"/>
        <v>6159.16</v>
      </c>
      <c r="AH641" s="43">
        <f t="shared" si="314"/>
        <v>7182.68</v>
      </c>
      <c r="AI641" s="43">
        <f t="shared" si="315"/>
        <v>28730.720000000001</v>
      </c>
      <c r="AJ641" s="43">
        <f t="shared" si="316"/>
        <v>1723843.2000000002</v>
      </c>
      <c r="AK641" s="44">
        <f>VLOOKUP(D641,[1]apoio_Preços_MGS!$A$6:$AN$238,39,FALSE)</f>
        <v>200.00000000000003</v>
      </c>
      <c r="AL641" s="44">
        <f>IF(J641="demais municípios",VLOOKUP(D641,[1]apoio_Preços_MGS!$A$6:$AN$238,39,FALSE),0)</f>
        <v>200.00000000000003</v>
      </c>
      <c r="AM641" s="44">
        <v>0</v>
      </c>
      <c r="AN641" s="45">
        <f t="shared" si="327"/>
        <v>800.00000000000011</v>
      </c>
      <c r="AO641" s="44">
        <f>VLOOKUP(D641,[1]apoio_Preços_MGS!$A$6:$AN$238,40,FALSE)</f>
        <v>548.79999999999995</v>
      </c>
      <c r="AP641" s="44">
        <f>IF(J641="demais municípios",VLOOKUP(D641,[1]apoio_Preços_MGS!$A$6:$AN$238,40,FALSE),0)</f>
        <v>548.79999999999995</v>
      </c>
      <c r="AQ641" s="44">
        <v>0</v>
      </c>
      <c r="AR641" s="45">
        <f t="shared" si="328"/>
        <v>2195.1999999999998</v>
      </c>
      <c r="AS641" s="45">
        <f t="shared" si="303"/>
        <v>2995.2</v>
      </c>
      <c r="AT641" s="45">
        <f t="shared" si="306"/>
        <v>179712</v>
      </c>
      <c r="AU641" s="62"/>
      <c r="AV641" s="46"/>
      <c r="AW641" s="47"/>
      <c r="AX641" s="48"/>
      <c r="AY641" s="49"/>
      <c r="BA641" s="48"/>
    </row>
    <row r="642" spans="1:53" ht="19.5" customHeight="1" x14ac:dyDescent="0.25">
      <c r="A642" s="33" t="str">
        <f t="shared" si="304"/>
        <v>63827440,05</v>
      </c>
      <c r="B642" s="33" t="str">
        <f t="shared" si="305"/>
        <v>670,05</v>
      </c>
      <c r="C642" s="34" t="str">
        <f>VLOOKUP(D642,[1]apoio_Preços_MGS!$A$6:$B$238,2,FALSE)</f>
        <v>SUPORTE ADMINISTRATIVO</v>
      </c>
      <c r="D642" s="35">
        <v>67</v>
      </c>
      <c r="E642" s="33" t="str">
        <f>VLOOKUP(D642,[1]apoio_Preços_MGS!$A$6:$F$238,6,FALSE)</f>
        <v>SUPORTE ADMINISTRATIVO - 12x36 DIURNO - 44H</v>
      </c>
      <c r="F642" s="36">
        <f>IFERROR(VLOOKUP(D642,'[1]apoio_cód catmas'!$B$2:$C$863,2,FALSE),0)</f>
        <v>63827</v>
      </c>
      <c r="G642" s="33" t="str">
        <f>IF(H642="N/A",VLOOKUP(F642&amp;40,'[1]apoio_cód catmas'!$A$1:$G$233,4,FALSE),VLOOKUP(F642&amp;H642,'[1]apoio_cód catmas'!$A$1:$G$233,4,FALSE))</f>
        <v>SUPORTE ADMINISTRATIVO, 12X36, DIURNO - 44H</v>
      </c>
      <c r="H642" s="36">
        <v>44</v>
      </c>
      <c r="I642" s="37">
        <v>0.05</v>
      </c>
      <c r="J642" s="38" t="s">
        <v>47</v>
      </c>
      <c r="K642" s="39">
        <v>51</v>
      </c>
      <c r="L642" s="39">
        <f t="shared" si="307"/>
        <v>3060</v>
      </c>
      <c r="M642" s="40">
        <f>VLOOKUP(D642,[1]apoio_Preços_MGS!$A$6:$AN$238,18,FALSE)</f>
        <v>3052.3649856747788</v>
      </c>
      <c r="N642" s="40">
        <f>VLOOKUP(D642,[1]apoio_Preços_MGS!$A$6:$AN$238,19,FALSE)</f>
        <v>0</v>
      </c>
      <c r="O642" s="40">
        <f>VLOOKUP(D642,[1]apoio_Preços_MGS!$A$6:$AN$238,20,FALSE)</f>
        <v>0</v>
      </c>
      <c r="P642" s="40">
        <f>VLOOKUP(D642,[1]apoio_Preços_MGS!$A$6:$AN$238,21,FALSE)</f>
        <v>0</v>
      </c>
      <c r="Q642" s="40">
        <f>VLOOKUP(D642,[1]apoio_Preços_MGS!$A$6:$AN$238,22,FALSE)</f>
        <v>0</v>
      </c>
      <c r="R642" s="40">
        <f>VLOOKUP(D642,[1]apoio_Preços_MGS!$A$6:$AN$238,23,FALSE)</f>
        <v>0</v>
      </c>
      <c r="S642" s="40">
        <f>VLOOKUP(D642,[1]apoio_Preços_MGS!$A$6:$AN$238,24,FALSE)</f>
        <v>0</v>
      </c>
      <c r="T642" s="40">
        <f>VLOOKUP(D642,[1]apoio_Preços_MGS!$A$6:$AN$238,25,FALSE)</f>
        <v>4.2393958134371923</v>
      </c>
      <c r="U642" s="40">
        <f t="shared" si="301"/>
        <v>3056.6043814882159</v>
      </c>
      <c r="V642" s="41">
        <f>VLOOKUP(D642,[1]apoio_Preços_MGS!$A$6:$AN$238,27,FALSE)</f>
        <v>0.81799999999999995</v>
      </c>
      <c r="W642" s="40">
        <f t="shared" si="302"/>
        <v>2500.3023840573605</v>
      </c>
      <c r="X642" s="40">
        <f>VLOOKUP(D642,[1]apoio_Preços_MGS!$A$6:$AN$238,29,FALSE)</f>
        <v>0</v>
      </c>
      <c r="Y642" s="40">
        <f>VLOOKUP(D642,[1]apoio_Preços_MGS!$A$6:$AN$238,30,FALSE)</f>
        <v>6.5772863955289598E-2</v>
      </c>
      <c r="Z642" s="40">
        <f t="shared" si="312"/>
        <v>6.5772863955289598E-2</v>
      </c>
      <c r="AA642" s="40">
        <f>VLOOKUP(D642,[1]apoio_Preços_MGS!$A$6:$AN$238,32,FALSE)</f>
        <v>5.8605407724955745</v>
      </c>
      <c r="AB642" s="40">
        <f>VLOOKUP(D642,[1]apoio_Preços_MGS!$A$6:$AN$238,33,FALSE)</f>
        <v>157.48825098563077</v>
      </c>
      <c r="AC642" s="41">
        <f>VLOOKUP(D642,[1]apoio_Preços_MGS!$A$6:$AN$238,34,FALSE)</f>
        <v>0</v>
      </c>
      <c r="AD642" s="40">
        <f>(U642+W642+Z642+AB642+AA642+VLOOKUP(C642,[1]apoio_Prec_Folha!$A:$S,7,FALSE))*AC642</f>
        <v>0</v>
      </c>
      <c r="AE642" s="42">
        <f>VLOOKUP(D642,[1]apoio_Preços_MGS!$A$6:$AN$238,36,FALSE)</f>
        <v>7.0000000000000007E-2</v>
      </c>
      <c r="AF642" s="40">
        <f>(U642+W642+Z642+AB642+AD642+AA642+VLOOKUP(C642,[1]apoio_Prec_Folha!$A:$S,7,FALSE))*AE642</f>
        <v>438.83887854441326</v>
      </c>
      <c r="AG642" s="40">
        <f t="shared" si="313"/>
        <v>6159.16</v>
      </c>
      <c r="AH642" s="43">
        <f t="shared" si="314"/>
        <v>7182.68</v>
      </c>
      <c r="AI642" s="43">
        <f t="shared" si="315"/>
        <v>366316.68</v>
      </c>
      <c r="AJ642" s="43">
        <f t="shared" si="316"/>
        <v>21979000.800000001</v>
      </c>
      <c r="AK642" s="44">
        <f>VLOOKUP(D642,[1]apoio_Preços_MGS!$A$6:$AN$238,39,FALSE)</f>
        <v>200.00000000000003</v>
      </c>
      <c r="AL642" s="44">
        <f>IF(J642="demais municípios",VLOOKUP(D642,[1]apoio_Preços_MGS!$A$6:$AN$238,39,FALSE),0)</f>
        <v>0</v>
      </c>
      <c r="AM642" s="44">
        <f>TRUNC(ROUND(($I642)/(1-($I642)),5)*VLOOKUP(D642,[1]apoio_Preços_MGS!$A$6:$AN$238,39,FALSE)+VLOOKUP(D642,[1]apoio_Preços_MGS!$A$6:$AN$238,39,FALSE),2)</f>
        <v>210.52</v>
      </c>
      <c r="AN642" s="45">
        <f t="shared" si="308"/>
        <v>10736.52</v>
      </c>
      <c r="AO642" s="44">
        <f>VLOOKUP(D642,[1]apoio_Preços_MGS!$A$6:$AN$238,40,FALSE)</f>
        <v>548.79999999999995</v>
      </c>
      <c r="AP642" s="44">
        <f>IF(J642="demais municípios",VLOOKUP(D642,[1]apoio_Preços_MGS!$A$6:$AN$238,40,FALSE),0)</f>
        <v>0</v>
      </c>
      <c r="AQ642" s="44">
        <f>TRUNC(ROUND(($I642)/(1-($I642)),5)*VLOOKUP(D642,[1]apoio_Preços_MGS!$A$6:$AN$238,40,FALSE)+VLOOKUP(D642,[1]apoio_Preços_MGS!$A$6:$AN$238,40,FALSE),2)</f>
        <v>577.67999999999995</v>
      </c>
      <c r="AR642" s="45">
        <f t="shared" si="309"/>
        <v>29461.679999999997</v>
      </c>
      <c r="AS642" s="45">
        <f t="shared" si="303"/>
        <v>40198.199999999997</v>
      </c>
      <c r="AT642" s="45">
        <f t="shared" si="306"/>
        <v>2411892</v>
      </c>
      <c r="AU642" s="62"/>
      <c r="AV642" s="46"/>
      <c r="AW642" s="47"/>
      <c r="AX642" s="48"/>
      <c r="AY642" s="49"/>
      <c r="BA642" s="48"/>
    </row>
    <row r="643" spans="1:53" ht="19.5" customHeight="1" x14ac:dyDescent="0.25">
      <c r="A643" s="33" t="str">
        <f t="shared" si="304"/>
        <v>63622400,05</v>
      </c>
      <c r="B643" s="33" t="str">
        <f t="shared" si="305"/>
        <v>2280,05</v>
      </c>
      <c r="C643" s="34" t="str">
        <f>VLOOKUP(D643,[1]apoio_Preços_MGS!$A$6:$B$238,2,FALSE)</f>
        <v>TÉCNICO EM MANUTENÇÃO VEICULAR</v>
      </c>
      <c r="D643" s="35">
        <v>228</v>
      </c>
      <c r="E643" s="33" t="str">
        <f>VLOOKUP(D643,[1]apoio_Preços_MGS!$A$6:$F$238,6,FALSE)</f>
        <v>TÉCNICO EM MANUTENÇÃO VEICULAR - DIARISTA DIURNO - 40H</v>
      </c>
      <c r="F643" s="36">
        <f>IFERROR(VLOOKUP(D643,'[1]apoio_cód catmas'!$B$2:$C$863,2,FALSE),0)</f>
        <v>63622</v>
      </c>
      <c r="G643" s="33" t="str">
        <f>IF(H643="N/A",VLOOKUP(F643&amp;40,'[1]apoio_cód catmas'!$A$1:$G$233,4,FALSE),VLOOKUP(F643&amp;H643,'[1]apoio_cód catmas'!$A$1:$G$233,4,FALSE))</f>
        <v>TECNICO EM MANUTENCAO VEICULAR - 40H OU 44H</v>
      </c>
      <c r="H643" s="36">
        <v>40</v>
      </c>
      <c r="I643" s="37">
        <v>0.05</v>
      </c>
      <c r="J643" s="38" t="s">
        <v>47</v>
      </c>
      <c r="K643" s="39">
        <v>11</v>
      </c>
      <c r="L643" s="39">
        <f t="shared" si="307"/>
        <v>660</v>
      </c>
      <c r="M643" s="40">
        <f>VLOOKUP(D643,[1]apoio_Preços_MGS!$A$6:$AN$238,18,FALSE)</f>
        <v>2957.475011363636</v>
      </c>
      <c r="N643" s="40">
        <f>VLOOKUP(D643,[1]apoio_Preços_MGS!$A$6:$AN$238,19,FALSE)</f>
        <v>0</v>
      </c>
      <c r="O643" s="40">
        <f>VLOOKUP(D643,[1]apoio_Preços_MGS!$A$6:$AN$238,20,FALSE)</f>
        <v>0</v>
      </c>
      <c r="P643" s="40">
        <f>VLOOKUP(D643,[1]apoio_Preços_MGS!$A$6:$AN$238,21,FALSE)</f>
        <v>0</v>
      </c>
      <c r="Q643" s="40">
        <f>VLOOKUP(D643,[1]apoio_Preços_MGS!$A$6:$AN$238,22,FALSE)</f>
        <v>0</v>
      </c>
      <c r="R643" s="40">
        <f>VLOOKUP(D643,[1]apoio_Preços_MGS!$A$6:$AN$238,23,FALSE)</f>
        <v>0</v>
      </c>
      <c r="S643" s="40">
        <f>VLOOKUP(D643,[1]apoio_Preços_MGS!$A$6:$AN$238,24,FALSE)</f>
        <v>0</v>
      </c>
      <c r="T643" s="40">
        <f>VLOOKUP(D643,[1]apoio_Preços_MGS!$A$6:$AN$238,25,FALSE)</f>
        <v>0</v>
      </c>
      <c r="U643" s="40">
        <f t="shared" si="301"/>
        <v>2957.475011363636</v>
      </c>
      <c r="V643" s="41">
        <f>VLOOKUP(D643,[1]apoio_Preços_MGS!$A$6:$AN$238,27,FALSE)</f>
        <v>0.81799999999999995</v>
      </c>
      <c r="W643" s="40">
        <f t="shared" si="302"/>
        <v>2419.2145592954539</v>
      </c>
      <c r="X643" s="40">
        <f>VLOOKUP(D643,[1]apoio_Preços_MGS!$A$6:$AN$238,29,FALSE)</f>
        <v>19.18</v>
      </c>
      <c r="Y643" s="40">
        <f>VLOOKUP(D643,[1]apoio_Preços_MGS!$A$6:$AN$238,30,FALSE)</f>
        <v>29.21</v>
      </c>
      <c r="Z643" s="40">
        <f t="shared" si="312"/>
        <v>48.39</v>
      </c>
      <c r="AA643" s="40">
        <f>VLOOKUP(D643,[1]apoio_Preços_MGS!$A$6:$AN$238,32,FALSE)</f>
        <v>5.6783520218181804</v>
      </c>
      <c r="AB643" s="40">
        <f>VLOOKUP(D643,[1]apoio_Preços_MGS!$A$6:$AN$238,33,FALSE)</f>
        <v>152.35022727272727</v>
      </c>
      <c r="AC643" s="41">
        <f>VLOOKUP(D643,[1]apoio_Preços_MGS!$A$6:$AN$238,34,FALSE)</f>
        <v>3.2520914593410069E-2</v>
      </c>
      <c r="AD643" s="40">
        <f>(U643+W643+Z643+AB643+AA643+VLOOKUP(C643,[1]apoio_Prec_Folha!$A:$S,7,FALSE))*AC643</f>
        <v>199.50566938184699</v>
      </c>
      <c r="AE643" s="42">
        <f>VLOOKUP(D643,[1]apoio_Preços_MGS!$A$6:$AN$238,36,FALSE)</f>
        <v>7.0000000000000007E-2</v>
      </c>
      <c r="AF643" s="40">
        <f>(U643+W643+Z643+AB643+AD643+AA643+VLOOKUP(C643,[1]apoio_Prec_Folha!$A:$S,7,FALSE))*AE643</f>
        <v>443.39356735348377</v>
      </c>
      <c r="AG643" s="40">
        <f t="shared" si="313"/>
        <v>6226</v>
      </c>
      <c r="AH643" s="43">
        <f t="shared" si="314"/>
        <v>7260.63</v>
      </c>
      <c r="AI643" s="43">
        <f t="shared" si="315"/>
        <v>79866.930000000008</v>
      </c>
      <c r="AJ643" s="43">
        <f t="shared" si="316"/>
        <v>4792015.8</v>
      </c>
      <c r="AK643" s="44">
        <f>VLOOKUP(D643,[1]apoio_Preços_MGS!$A$6:$AN$238,39,FALSE)</f>
        <v>181.81818181818184</v>
      </c>
      <c r="AL643" s="44">
        <f>IF(J643="demais municípios",VLOOKUP(D643,[1]apoio_Preços_MGS!$A$6:$AN$238,39,FALSE),0)</f>
        <v>0</v>
      </c>
      <c r="AM643" s="44">
        <f>TRUNC(ROUND(($I643)/(1-($I643)),5)*VLOOKUP(D643,[1]apoio_Preços_MGS!$A$6:$AN$238,39,FALSE)+VLOOKUP(D643,[1]apoio_Preços_MGS!$A$6:$AN$238,39,FALSE),2)</f>
        <v>191.38</v>
      </c>
      <c r="AN643" s="45">
        <f t="shared" si="308"/>
        <v>2105.1799999999998</v>
      </c>
      <c r="AO643" s="44">
        <f>VLOOKUP(D643,[1]apoio_Preços_MGS!$A$6:$AN$238,40,FALSE)</f>
        <v>551.58000000000004</v>
      </c>
      <c r="AP643" s="44">
        <f>IF(J643="demais municípios",VLOOKUP(D643,[1]apoio_Preços_MGS!$A$6:$AN$238,40,FALSE),0)</f>
        <v>0</v>
      </c>
      <c r="AQ643" s="44">
        <f>TRUNC(ROUND(($I643)/(1-($I643)),5)*VLOOKUP(D643,[1]apoio_Preços_MGS!$A$6:$AN$238,40,FALSE)+VLOOKUP(D643,[1]apoio_Preços_MGS!$A$6:$AN$238,40,FALSE),2)</f>
        <v>580.6</v>
      </c>
      <c r="AR643" s="45">
        <f t="shared" si="309"/>
        <v>6386.6</v>
      </c>
      <c r="AS643" s="45">
        <f t="shared" si="303"/>
        <v>8491.7800000000007</v>
      </c>
      <c r="AT643" s="45">
        <f t="shared" si="306"/>
        <v>509506.80000000005</v>
      </c>
      <c r="AU643" s="62"/>
      <c r="AV643" s="46"/>
      <c r="AW643" s="47"/>
      <c r="AX643" s="48"/>
      <c r="AY643" s="49"/>
      <c r="BA643" s="48"/>
    </row>
    <row r="644" spans="1:53" ht="19.5" customHeight="1" x14ac:dyDescent="0.25">
      <c r="A644" s="33" t="str">
        <f t="shared" si="304"/>
        <v>63622440,05</v>
      </c>
      <c r="B644" s="33" t="str">
        <f t="shared" si="305"/>
        <v>2270,05</v>
      </c>
      <c r="C644" s="34" t="str">
        <f>VLOOKUP(D644,[1]apoio_Preços_MGS!$A$6:$B$238,2,FALSE)</f>
        <v>TÉCNICO EM MANUTENÇÃO VEICULAR</v>
      </c>
      <c r="D644" s="35">
        <v>227</v>
      </c>
      <c r="E644" s="33" t="str">
        <f>VLOOKUP(D644,[1]apoio_Preços_MGS!$A$6:$F$238,6,FALSE)</f>
        <v>TÉCNICO EM MANUTENÇÃO VEICULAR - DIARISTA DIURNO - 44H</v>
      </c>
      <c r="F644" s="36">
        <f>IFERROR(VLOOKUP(D644,'[1]apoio_cód catmas'!$B$2:$C$863,2,FALSE),0)</f>
        <v>63622</v>
      </c>
      <c r="G644" s="33" t="str">
        <f>IF(H644="N/A",VLOOKUP(F644&amp;40,'[1]apoio_cód catmas'!$A$1:$G$233,4,FALSE),VLOOKUP(F644&amp;H644,'[1]apoio_cód catmas'!$A$1:$G$233,4,FALSE))</f>
        <v>TECNICO EM MANUTENCAO VEICULAR - 40H OU 44H</v>
      </c>
      <c r="H644" s="36">
        <v>44</v>
      </c>
      <c r="I644" s="37">
        <v>0.05</v>
      </c>
      <c r="J644" s="38" t="s">
        <v>47</v>
      </c>
      <c r="K644" s="39">
        <v>2</v>
      </c>
      <c r="L644" s="39">
        <f t="shared" si="307"/>
        <v>120</v>
      </c>
      <c r="M644" s="40">
        <f>VLOOKUP(D644,[1]apoio_Preços_MGS!$A$6:$AN$238,18,FALSE)</f>
        <v>3253.2225124999995</v>
      </c>
      <c r="N644" s="40">
        <f>VLOOKUP(D644,[1]apoio_Preços_MGS!$A$6:$AN$238,19,FALSE)</f>
        <v>0</v>
      </c>
      <c r="O644" s="40">
        <f>VLOOKUP(D644,[1]apoio_Preços_MGS!$A$6:$AN$238,20,FALSE)</f>
        <v>0</v>
      </c>
      <c r="P644" s="40">
        <f>VLOOKUP(D644,[1]apoio_Preços_MGS!$A$6:$AN$238,21,FALSE)</f>
        <v>0</v>
      </c>
      <c r="Q644" s="40">
        <f>VLOOKUP(D644,[1]apoio_Preços_MGS!$A$6:$AN$238,22,FALSE)</f>
        <v>0</v>
      </c>
      <c r="R644" s="40">
        <f>VLOOKUP(D644,[1]apoio_Preços_MGS!$A$6:$AN$238,23,FALSE)</f>
        <v>0</v>
      </c>
      <c r="S644" s="40">
        <f>VLOOKUP(D644,[1]apoio_Preços_MGS!$A$6:$AN$238,24,FALSE)</f>
        <v>0</v>
      </c>
      <c r="T644" s="40">
        <f>VLOOKUP(D644,[1]apoio_Preços_MGS!$A$6:$AN$238,25,FALSE)</f>
        <v>0</v>
      </c>
      <c r="U644" s="40">
        <f t="shared" si="301"/>
        <v>3253.2225124999995</v>
      </c>
      <c r="V644" s="41">
        <f>VLOOKUP(D644,[1]apoio_Preços_MGS!$A$6:$AN$238,27,FALSE)</f>
        <v>0.81799999999999995</v>
      </c>
      <c r="W644" s="40">
        <f t="shared" si="302"/>
        <v>2661.1360152249995</v>
      </c>
      <c r="X644" s="40">
        <f>VLOOKUP(D644,[1]apoio_Preços_MGS!$A$6:$AN$238,29,FALSE)</f>
        <v>19.18</v>
      </c>
      <c r="Y644" s="40">
        <f>VLOOKUP(D644,[1]apoio_Preços_MGS!$A$6:$AN$238,30,FALSE)</f>
        <v>29.21</v>
      </c>
      <c r="Z644" s="40">
        <f t="shared" si="312"/>
        <v>48.39</v>
      </c>
      <c r="AA644" s="40">
        <f>VLOOKUP(D644,[1]apoio_Preços_MGS!$A$6:$AN$238,32,FALSE)</f>
        <v>6.2461872239999989</v>
      </c>
      <c r="AB644" s="40">
        <f>VLOOKUP(D644,[1]apoio_Preços_MGS!$A$6:$AN$238,33,FALSE)</f>
        <v>136.82374999999999</v>
      </c>
      <c r="AC644" s="41">
        <f>VLOOKUP(D644,[1]apoio_Preços_MGS!$A$6:$AN$238,34,FALSE)</f>
        <v>3.2520914593410069E-2</v>
      </c>
      <c r="AD644" s="40">
        <f>(U644+W644+Z644+AB644+AA644+VLOOKUP(C644,[1]apoio_Prec_Folha!$A:$S,7,FALSE))*AC644</f>
        <v>216.50468689290568</v>
      </c>
      <c r="AE644" s="42">
        <f>VLOOKUP(D644,[1]apoio_Preços_MGS!$A$6:$AN$238,36,FALSE)</f>
        <v>7.0000000000000007E-2</v>
      </c>
      <c r="AF644" s="40">
        <f>(U644+W644+Z644+AB644+AD644+AA644+VLOOKUP(C644,[1]apoio_Prec_Folha!$A:$S,7,FALSE))*AE644</f>
        <v>481.17322062893334</v>
      </c>
      <c r="AG644" s="40">
        <f t="shared" si="313"/>
        <v>6803.49</v>
      </c>
      <c r="AH644" s="43">
        <f t="shared" si="314"/>
        <v>7934.09</v>
      </c>
      <c r="AI644" s="43">
        <f t="shared" si="315"/>
        <v>15868.18</v>
      </c>
      <c r="AJ644" s="43">
        <f t="shared" si="316"/>
        <v>952090.8</v>
      </c>
      <c r="AK644" s="44">
        <f>VLOOKUP(D644,[1]apoio_Preços_MGS!$A$6:$AN$238,39,FALSE)</f>
        <v>200.00000000000003</v>
      </c>
      <c r="AL644" s="44">
        <f>IF(J644="demais municípios",VLOOKUP(D644,[1]apoio_Preços_MGS!$A$6:$AN$238,39,FALSE),0)</f>
        <v>0</v>
      </c>
      <c r="AM644" s="44">
        <f>TRUNC(ROUND(($I644)/(1-($I644)),5)*VLOOKUP(D644,[1]apoio_Preços_MGS!$A$6:$AN$238,39,FALSE)+VLOOKUP(D644,[1]apoio_Preços_MGS!$A$6:$AN$238,39,FALSE),2)</f>
        <v>210.52</v>
      </c>
      <c r="AN644" s="45">
        <f t="shared" si="308"/>
        <v>421.04</v>
      </c>
      <c r="AO644" s="44">
        <f>VLOOKUP(D644,[1]apoio_Preços_MGS!$A$6:$AN$238,40,FALSE)</f>
        <v>551.58000000000004</v>
      </c>
      <c r="AP644" s="44">
        <f>IF(J644="demais municípios",VLOOKUP(D644,[1]apoio_Preços_MGS!$A$6:$AN$238,40,FALSE),0)</f>
        <v>0</v>
      </c>
      <c r="AQ644" s="44">
        <f>TRUNC(ROUND(($I644)/(1-($I644)),5)*VLOOKUP(D644,[1]apoio_Preços_MGS!$A$6:$AN$238,40,FALSE)+VLOOKUP(D644,[1]apoio_Preços_MGS!$A$6:$AN$238,40,FALSE),2)</f>
        <v>580.6</v>
      </c>
      <c r="AR644" s="45">
        <f t="shared" si="309"/>
        <v>1161.2</v>
      </c>
      <c r="AS644" s="45">
        <f t="shared" si="303"/>
        <v>1582.24</v>
      </c>
      <c r="AT644" s="45">
        <f t="shared" si="306"/>
        <v>94934.399999999994</v>
      </c>
      <c r="AU644" s="62"/>
      <c r="AV644" s="46"/>
      <c r="AW644" s="47"/>
      <c r="AX644" s="48"/>
      <c r="AY644" s="49"/>
      <c r="BA644" s="48"/>
    </row>
    <row r="645" spans="1:53" ht="19.5" customHeight="1" x14ac:dyDescent="0.25">
      <c r="A645" s="33" t="str">
        <f t="shared" si="304"/>
        <v>63614400,05</v>
      </c>
      <c r="B645" s="33" t="str">
        <f t="shared" si="305"/>
        <v>2300,05</v>
      </c>
      <c r="C645" s="34" t="str">
        <f>VLOOKUP(D645,[1]apoio_Preços_MGS!$A$6:$B$238,2,FALSE)</f>
        <v>TÉCNICO EM MANUTENÇÃO VEICULAR</v>
      </c>
      <c r="D645" s="35">
        <v>230</v>
      </c>
      <c r="E645" s="33" t="str">
        <f>VLOOKUP(D645,[1]apoio_Preços_MGS!$A$6:$F$238,6,FALSE)</f>
        <v>TÉCNICO EM MANUTENÇÃO VEICULAR - (PERIC.) - DIARISTA DIURNO - 40H</v>
      </c>
      <c r="F645" s="36">
        <f>IFERROR(VLOOKUP(D645,'[1]apoio_cód catmas'!$B$2:$C$863,2,FALSE),0)</f>
        <v>63614</v>
      </c>
      <c r="G645" s="33" t="str">
        <f>IF(H645="N/A",VLOOKUP(F645&amp;40,'[1]apoio_cód catmas'!$A$1:$G$233,4,FALSE),VLOOKUP(F645&amp;H645,'[1]apoio_cód catmas'!$A$1:$G$233,4,FALSE))</f>
        <v>TECNICO EM MANUTENCAO VEICULAR (PERICULOSIDADE) - 40H</v>
      </c>
      <c r="H645" s="36">
        <v>40</v>
      </c>
      <c r="I645" s="37">
        <v>0.05</v>
      </c>
      <c r="J645" s="38" t="s">
        <v>47</v>
      </c>
      <c r="K645" s="39">
        <v>4</v>
      </c>
      <c r="L645" s="39">
        <f t="shared" si="307"/>
        <v>240</v>
      </c>
      <c r="M645" s="40">
        <f>VLOOKUP(D645,[1]apoio_Preços_MGS!$A$6:$AN$238,18,FALSE)</f>
        <v>2957.475011363636</v>
      </c>
      <c r="N645" s="40">
        <f>VLOOKUP(D645,[1]apoio_Preços_MGS!$A$6:$AN$238,19,FALSE)</f>
        <v>887.24250340909077</v>
      </c>
      <c r="O645" s="40">
        <f>VLOOKUP(D645,[1]apoio_Preços_MGS!$A$6:$AN$238,20,FALSE)</f>
        <v>0</v>
      </c>
      <c r="P645" s="40">
        <f>VLOOKUP(D645,[1]apoio_Preços_MGS!$A$6:$AN$238,21,FALSE)</f>
        <v>0</v>
      </c>
      <c r="Q645" s="40">
        <f>VLOOKUP(D645,[1]apoio_Preços_MGS!$A$6:$AN$238,22,FALSE)</f>
        <v>0</v>
      </c>
      <c r="R645" s="40">
        <f>VLOOKUP(D645,[1]apoio_Preços_MGS!$A$6:$AN$238,23,FALSE)</f>
        <v>0</v>
      </c>
      <c r="S645" s="40">
        <f>VLOOKUP(D645,[1]apoio_Preços_MGS!$A$6:$AN$238,24,FALSE)</f>
        <v>0</v>
      </c>
      <c r="T645" s="40">
        <f>VLOOKUP(D645,[1]apoio_Preços_MGS!$A$6:$AN$238,25,FALSE)</f>
        <v>0</v>
      </c>
      <c r="U645" s="40">
        <f t="shared" si="301"/>
        <v>3844.7175147727266</v>
      </c>
      <c r="V645" s="41">
        <f>VLOOKUP(D645,[1]apoio_Preços_MGS!$A$6:$AN$238,27,FALSE)</f>
        <v>0.81799999999999995</v>
      </c>
      <c r="W645" s="40">
        <f t="shared" si="302"/>
        <v>3144.9789270840902</v>
      </c>
      <c r="X645" s="40">
        <f>VLOOKUP(D645,[1]apoio_Preços_MGS!$A$6:$AN$238,29,FALSE)</f>
        <v>19.18</v>
      </c>
      <c r="Y645" s="40">
        <f>VLOOKUP(D645,[1]apoio_Preços_MGS!$A$6:$AN$238,30,FALSE)</f>
        <v>29.21</v>
      </c>
      <c r="Z645" s="40">
        <f t="shared" si="312"/>
        <v>48.39</v>
      </c>
      <c r="AA645" s="40">
        <f>VLOOKUP(D645,[1]apoio_Preços_MGS!$A$6:$AN$238,32,FALSE)</f>
        <v>5.6783520218181804</v>
      </c>
      <c r="AB645" s="40">
        <f>VLOOKUP(D645,[1]apoio_Preços_MGS!$A$6:$AN$238,33,FALSE)</f>
        <v>152.35022727272727</v>
      </c>
      <c r="AC645" s="41">
        <f>VLOOKUP(D645,[1]apoio_Preços_MGS!$A$6:$AN$238,34,FALSE)</f>
        <v>3.2520914593410069E-2</v>
      </c>
      <c r="AD645" s="40">
        <f>(U645+W645+Z645+AB645+AA645+VLOOKUP(C645,[1]apoio_Prec_Folha!$A:$S,7,FALSE))*AC645</f>
        <v>251.96212807865186</v>
      </c>
      <c r="AE645" s="42">
        <f>VLOOKUP(D645,[1]apoio_Preços_MGS!$A$6:$AN$238,36,FALSE)</f>
        <v>7.0000000000000007E-2</v>
      </c>
      <c r="AF645" s="40">
        <f>(U645+W645+Z645+AB645+AD645+AA645+VLOOKUP(C645,[1]apoio_Prec_Folha!$A:$S,7,FALSE))*AE645</f>
        <v>559.97600044610101</v>
      </c>
      <c r="AG645" s="40">
        <f t="shared" si="313"/>
        <v>8008.05</v>
      </c>
      <c r="AH645" s="43">
        <f t="shared" si="314"/>
        <v>9338.82</v>
      </c>
      <c r="AI645" s="43">
        <f t="shared" si="315"/>
        <v>37355.279999999999</v>
      </c>
      <c r="AJ645" s="43">
        <f t="shared" si="316"/>
        <v>2241316.7999999998</v>
      </c>
      <c r="AK645" s="44">
        <f>VLOOKUP(D645,[1]apoio_Preços_MGS!$A$6:$AN$238,39,FALSE)</f>
        <v>181.81818181818184</v>
      </c>
      <c r="AL645" s="44">
        <f>IF(J645="demais municípios",VLOOKUP(D645,[1]apoio_Preços_MGS!$A$6:$AN$238,39,FALSE),0)</f>
        <v>0</v>
      </c>
      <c r="AM645" s="44">
        <f>TRUNC(ROUND(($I645)/(1-($I645)),5)*VLOOKUP(D645,[1]apoio_Preços_MGS!$A$6:$AN$238,39,FALSE)+VLOOKUP(D645,[1]apoio_Preços_MGS!$A$6:$AN$238,39,FALSE),2)</f>
        <v>191.38</v>
      </c>
      <c r="AN645" s="45">
        <f t="shared" si="308"/>
        <v>765.52</v>
      </c>
      <c r="AO645" s="44">
        <f>VLOOKUP(D645,[1]apoio_Preços_MGS!$A$6:$AN$238,40,FALSE)</f>
        <v>551.58000000000004</v>
      </c>
      <c r="AP645" s="44">
        <f>IF(J645="demais municípios",VLOOKUP(D645,[1]apoio_Preços_MGS!$A$6:$AN$238,40,FALSE),0)</f>
        <v>0</v>
      </c>
      <c r="AQ645" s="44">
        <f>TRUNC(ROUND(($I645)/(1-($I645)),5)*VLOOKUP(D645,[1]apoio_Preços_MGS!$A$6:$AN$238,40,FALSE)+VLOOKUP(D645,[1]apoio_Preços_MGS!$A$6:$AN$238,40,FALSE),2)</f>
        <v>580.6</v>
      </c>
      <c r="AR645" s="45">
        <f t="shared" si="309"/>
        <v>2322.4</v>
      </c>
      <c r="AS645" s="45">
        <f t="shared" si="303"/>
        <v>3087.92</v>
      </c>
      <c r="AT645" s="45">
        <f t="shared" si="306"/>
        <v>185275.2</v>
      </c>
      <c r="AU645" s="62"/>
      <c r="AV645" s="46"/>
      <c r="AW645" s="47"/>
      <c r="AX645" s="48"/>
      <c r="AY645" s="49"/>
      <c r="BA645" s="48"/>
    </row>
    <row r="646" spans="1:53" ht="19.5" customHeight="1" x14ac:dyDescent="0.25">
      <c r="A646" s="33" t="str">
        <f t="shared" si="304"/>
        <v>63940440,05</v>
      </c>
      <c r="B646" s="33" t="str">
        <f t="shared" si="305"/>
        <v>1560,05</v>
      </c>
      <c r="C646" s="34" t="str">
        <f>VLOOKUP(D646,[1]apoio_Preços_MGS!$A$6:$B$238,2,FALSE)</f>
        <v>TÉCNICO ESPECIALIZADO</v>
      </c>
      <c r="D646" s="35">
        <v>156</v>
      </c>
      <c r="E646" s="33" t="str">
        <f>VLOOKUP(D646,[1]apoio_Preços_MGS!$A$6:$F$238,6,FALSE)</f>
        <v>TÉCNICO ESPECIALIZADO - 12x36 DIURNO - 44H</v>
      </c>
      <c r="F646" s="36">
        <f>IFERROR(VLOOKUP(D646,'[1]apoio_cód catmas'!$B$2:$C$863,2,FALSE),0)</f>
        <v>63940</v>
      </c>
      <c r="G646" s="33" t="str">
        <f>IF(H646="N/A",VLOOKUP(F646&amp;40,'[1]apoio_cód catmas'!$A$1:$G$233,4,FALSE),VLOOKUP(F646&amp;H646,'[1]apoio_cód catmas'!$A$1:$G$233,4,FALSE))</f>
        <v>TECNICO ESPECIALIZADO - 12X36 DIURNO - 44H</v>
      </c>
      <c r="H646" s="36">
        <v>44</v>
      </c>
      <c r="I646" s="37">
        <v>0.05</v>
      </c>
      <c r="J646" s="38" t="s">
        <v>47</v>
      </c>
      <c r="K646" s="39">
        <v>4</v>
      </c>
      <c r="L646" s="39">
        <f t="shared" si="307"/>
        <v>240</v>
      </c>
      <c r="M646" s="40">
        <f>VLOOKUP(D646,[1]apoio_Preços_MGS!$A$6:$AN$238,18,FALSE)</f>
        <v>3816.7366911116533</v>
      </c>
      <c r="N646" s="40">
        <f>VLOOKUP(D646,[1]apoio_Preços_MGS!$A$6:$AN$238,19,FALSE)</f>
        <v>0</v>
      </c>
      <c r="O646" s="40">
        <f>VLOOKUP(D646,[1]apoio_Preços_MGS!$A$6:$AN$238,20,FALSE)</f>
        <v>0</v>
      </c>
      <c r="P646" s="40">
        <f>VLOOKUP(D646,[1]apoio_Preços_MGS!$A$6:$AN$238,21,FALSE)</f>
        <v>0</v>
      </c>
      <c r="Q646" s="40">
        <f>VLOOKUP(D646,[1]apoio_Preços_MGS!$A$6:$AN$238,22,FALSE)</f>
        <v>0</v>
      </c>
      <c r="R646" s="40">
        <f>VLOOKUP(D646,[1]apoio_Preços_MGS!$A$6:$AN$238,23,FALSE)</f>
        <v>0</v>
      </c>
      <c r="S646" s="40">
        <f>VLOOKUP(D646,[1]apoio_Preços_MGS!$A$6:$AN$238,24,FALSE)</f>
        <v>0</v>
      </c>
      <c r="T646" s="40">
        <f>VLOOKUP(D646,[1]apoio_Preços_MGS!$A$6:$AN$238,25,FALSE)</f>
        <v>5.3010231820995184</v>
      </c>
      <c r="U646" s="40">
        <f t="shared" si="301"/>
        <v>3822.0377142937527</v>
      </c>
      <c r="V646" s="41">
        <f>VLOOKUP(D646,[1]apoio_Preços_MGS!$A$6:$AN$238,27,FALSE)</f>
        <v>0.81799999999999995</v>
      </c>
      <c r="W646" s="40">
        <f t="shared" si="302"/>
        <v>3126.4268502922896</v>
      </c>
      <c r="X646" s="40">
        <f>VLOOKUP(D646,[1]apoio_Preços_MGS!$A$6:$AN$238,29,FALSE)</f>
        <v>25.948381261595543</v>
      </c>
      <c r="Y646" s="40">
        <f>VLOOKUP(D646,[1]apoio_Preços_MGS!$A$6:$AN$238,30,FALSE)</f>
        <v>3.1227443667443668</v>
      </c>
      <c r="Z646" s="40">
        <f t="shared" si="312"/>
        <v>29.07112562833991</v>
      </c>
      <c r="AA646" s="40">
        <f>VLOOKUP(D646,[1]apoio_Preços_MGS!$A$6:$AN$238,32,FALSE)</f>
        <v>7.3281344469343734</v>
      </c>
      <c r="AB646" s="40">
        <f>VLOOKUP(D646,[1]apoio_Preços_MGS!$A$6:$AN$238,33,FALSE)</f>
        <v>103.42749081632675</v>
      </c>
      <c r="AC646" s="41">
        <f>VLOOKUP(D646,[1]apoio_Preços_MGS!$A$6:$AN$238,34,FALSE)</f>
        <v>0</v>
      </c>
      <c r="AD646" s="40">
        <f>(U646+W646+Z646+AB646+AA646+VLOOKUP(C646,[1]apoio_Prec_Folha!$A:$S,7,FALSE))*AC646</f>
        <v>0</v>
      </c>
      <c r="AE646" s="42">
        <f>VLOOKUP(D646,[1]apoio_Preços_MGS!$A$6:$AN$238,36,FALSE)</f>
        <v>7.0000000000000007E-2</v>
      </c>
      <c r="AF646" s="40">
        <f>(U646+W646+Z646+AB646+AD646+AA646+VLOOKUP(C646,[1]apoio_Prec_Folha!$A:$S,7,FALSE))*AE646</f>
        <v>534.60660994057798</v>
      </c>
      <c r="AG646" s="40">
        <f t="shared" si="313"/>
        <v>7622.89</v>
      </c>
      <c r="AH646" s="43">
        <f t="shared" si="314"/>
        <v>8889.66</v>
      </c>
      <c r="AI646" s="43">
        <f t="shared" si="315"/>
        <v>35558.639999999999</v>
      </c>
      <c r="AJ646" s="43">
        <f t="shared" si="316"/>
        <v>2133518.4</v>
      </c>
      <c r="AK646" s="44">
        <f>VLOOKUP(D646,[1]apoio_Preços_MGS!$A$6:$AN$238,39,FALSE)</f>
        <v>200.00000000000003</v>
      </c>
      <c r="AL646" s="44">
        <f>IF(J646="demais municípios",VLOOKUP(D646,[1]apoio_Preços_MGS!$A$6:$AN$238,39,FALSE),0)</f>
        <v>0</v>
      </c>
      <c r="AM646" s="44">
        <f>TRUNC(ROUND(($I646)/(1-($I646)),5)*VLOOKUP(D646,[1]apoio_Preços_MGS!$A$6:$AN$238,39,FALSE)+VLOOKUP(D646,[1]apoio_Preços_MGS!$A$6:$AN$238,39,FALSE),2)</f>
        <v>210.52</v>
      </c>
      <c r="AN646" s="45">
        <f t="shared" si="308"/>
        <v>842.08</v>
      </c>
      <c r="AO646" s="44">
        <f>VLOOKUP(D646,[1]apoio_Preços_MGS!$A$6:$AN$238,40,FALSE)</f>
        <v>548.94000000000005</v>
      </c>
      <c r="AP646" s="44">
        <f>IF(J646="demais municípios",VLOOKUP(D646,[1]apoio_Preços_MGS!$A$6:$AN$238,40,FALSE),0)</f>
        <v>0</v>
      </c>
      <c r="AQ646" s="44">
        <f>TRUNC(ROUND(($I646)/(1-($I646)),5)*VLOOKUP(D646,[1]apoio_Preços_MGS!$A$6:$AN$238,40,FALSE)+VLOOKUP(D646,[1]apoio_Preços_MGS!$A$6:$AN$238,40,FALSE),2)</f>
        <v>577.83000000000004</v>
      </c>
      <c r="AR646" s="45">
        <f t="shared" si="309"/>
        <v>2311.3200000000002</v>
      </c>
      <c r="AS646" s="45">
        <f t="shared" si="303"/>
        <v>3153.4</v>
      </c>
      <c r="AT646" s="45">
        <f t="shared" si="306"/>
        <v>189204</v>
      </c>
      <c r="AU646" s="62"/>
      <c r="AV646" s="46"/>
      <c r="AW646" s="47"/>
      <c r="AX646" s="48"/>
      <c r="AY646" s="49"/>
      <c r="BA646" s="48"/>
    </row>
    <row r="647" spans="1:53" ht="19.5" customHeight="1" x14ac:dyDescent="0.25">
      <c r="A647" s="33" t="str">
        <f t="shared" si="304"/>
        <v>63959440,05</v>
      </c>
      <c r="B647" s="33" t="str">
        <f t="shared" si="305"/>
        <v>1570,05</v>
      </c>
      <c r="C647" s="34" t="str">
        <f>VLOOKUP(D647,[1]apoio_Preços_MGS!$A$6:$B$238,2,FALSE)</f>
        <v>TÉCNICO ESPECIALIZADO</v>
      </c>
      <c r="D647" s="35">
        <v>157</v>
      </c>
      <c r="E647" s="33" t="str">
        <f>VLOOKUP(D647,[1]apoio_Preços_MGS!$A$6:$F$238,6,FALSE)</f>
        <v>TÉCNICO ESPECIALIZADO - 12x36 NOTURNO - 44H</v>
      </c>
      <c r="F647" s="36">
        <f>IFERROR(VLOOKUP(D647,'[1]apoio_cód catmas'!$B$2:$C$863,2,FALSE),0)</f>
        <v>63959</v>
      </c>
      <c r="G647" s="33" t="str">
        <f>IF(H647="N/A",VLOOKUP(F647&amp;40,'[1]apoio_cód catmas'!$A$1:$G$233,4,FALSE),VLOOKUP(F647&amp;H647,'[1]apoio_cód catmas'!$A$1:$G$233,4,FALSE))</f>
        <v>TECNICO ESPECIALIZADO - 12X36 NOTURNO - 44H</v>
      </c>
      <c r="H647" s="36">
        <v>44</v>
      </c>
      <c r="I647" s="37">
        <v>0.05</v>
      </c>
      <c r="J647" s="38" t="s">
        <v>47</v>
      </c>
      <c r="K647" s="39">
        <v>4</v>
      </c>
      <c r="L647" s="39">
        <f t="shared" si="307"/>
        <v>240</v>
      </c>
      <c r="M647" s="40">
        <f>VLOOKUP(D647,[1]apoio_Preços_MGS!$A$6:$AN$238,18,FALSE)</f>
        <v>3816.7366911116533</v>
      </c>
      <c r="N647" s="40">
        <f>VLOOKUP(D647,[1]apoio_Preços_MGS!$A$6:$AN$238,19,FALSE)</f>
        <v>0</v>
      </c>
      <c r="O647" s="40">
        <f>VLOOKUP(D647,[1]apoio_Preços_MGS!$A$6:$AN$238,20,FALSE)</f>
        <v>889.14491119926436</v>
      </c>
      <c r="P647" s="40">
        <f>VLOOKUP(D647,[1]apoio_Preços_MGS!$A$6:$AN$238,21,FALSE)</f>
        <v>19.408668325177057</v>
      </c>
      <c r="Q647" s="40">
        <f>VLOOKUP(D647,[1]apoio_Preços_MGS!$A$6:$AN$238,22,FALSE)</f>
        <v>72.782484384662098</v>
      </c>
      <c r="R647" s="40">
        <f>VLOOKUP(D647,[1]apoio_Preços_MGS!$A$6:$AN$238,23,FALSE)</f>
        <v>0</v>
      </c>
      <c r="S647" s="40">
        <f>VLOOKUP(D647,[1]apoio_Preços_MGS!$A$6:$AN$238,24,FALSE)</f>
        <v>0</v>
      </c>
      <c r="T647" s="40">
        <f>VLOOKUP(D647,[1]apoio_Preços_MGS!$A$6:$AN$238,25,FALSE)</f>
        <v>5.3010231820995184</v>
      </c>
      <c r="U647" s="40">
        <f t="shared" si="301"/>
        <v>4803.3737782028566</v>
      </c>
      <c r="V647" s="41">
        <f>VLOOKUP(D647,[1]apoio_Preços_MGS!$A$6:$AN$238,27,FALSE)</f>
        <v>0.81799999999999995</v>
      </c>
      <c r="W647" s="40">
        <f t="shared" si="302"/>
        <v>3929.1597505699365</v>
      </c>
      <c r="X647" s="40">
        <f>VLOOKUP(D647,[1]apoio_Preços_MGS!$A$6:$AN$238,29,FALSE)</f>
        <v>25.948381261595543</v>
      </c>
      <c r="Y647" s="40">
        <f>VLOOKUP(D647,[1]apoio_Preços_MGS!$A$6:$AN$238,30,FALSE)</f>
        <v>3.1227443667443668</v>
      </c>
      <c r="Z647" s="40">
        <f t="shared" si="312"/>
        <v>29.07112562833991</v>
      </c>
      <c r="AA647" s="40">
        <f>VLOOKUP(D647,[1]apoio_Preços_MGS!$A$6:$AN$238,32,FALSE)</f>
        <v>7.3281344469343734</v>
      </c>
      <c r="AB647" s="40">
        <f>VLOOKUP(D647,[1]apoio_Preços_MGS!$A$6:$AN$238,33,FALSE)</f>
        <v>103.42749081632675</v>
      </c>
      <c r="AC647" s="41">
        <f>VLOOKUP(D647,[1]apoio_Preços_MGS!$A$6:$AN$238,34,FALSE)</f>
        <v>0</v>
      </c>
      <c r="AD647" s="40">
        <f>(U647+W647+Z647+AB647+AA647+VLOOKUP(C647,[1]apoio_Prec_Folha!$A:$S,7,FALSE))*AC647</f>
        <v>0</v>
      </c>
      <c r="AE647" s="42">
        <f>VLOOKUP(D647,[1]apoio_Preços_MGS!$A$6:$AN$238,36,FALSE)</f>
        <v>7.0000000000000007E-2</v>
      </c>
      <c r="AF647" s="40">
        <f>(U647+W647+Z647+AB647+AD647+AA647+VLOOKUP(C647,[1]apoio_Prec_Folha!$A:$S,7,FALSE))*AE647</f>
        <v>659.4914374336505</v>
      </c>
      <c r="AG647" s="40">
        <f t="shared" si="313"/>
        <v>9531.85</v>
      </c>
      <c r="AH647" s="43">
        <f t="shared" si="314"/>
        <v>11115.85</v>
      </c>
      <c r="AI647" s="43">
        <f t="shared" si="315"/>
        <v>44463.4</v>
      </c>
      <c r="AJ647" s="43">
        <f t="shared" si="316"/>
        <v>2667804</v>
      </c>
      <c r="AK647" s="44">
        <f>VLOOKUP(D647,[1]apoio_Preços_MGS!$A$6:$AN$238,39,FALSE)</f>
        <v>200.00000000000003</v>
      </c>
      <c r="AL647" s="44">
        <f>IF(J647="demais municípios",VLOOKUP(D647,[1]apoio_Preços_MGS!$A$6:$AN$238,39,FALSE),0)</f>
        <v>0</v>
      </c>
      <c r="AM647" s="44">
        <f>TRUNC(ROUND(($I647)/(1-($I647)),5)*VLOOKUP(D647,[1]apoio_Preços_MGS!$A$6:$AN$238,39,FALSE)+VLOOKUP(D647,[1]apoio_Preços_MGS!$A$6:$AN$238,39,FALSE),2)</f>
        <v>210.52</v>
      </c>
      <c r="AN647" s="45">
        <f t="shared" si="308"/>
        <v>842.08</v>
      </c>
      <c r="AO647" s="44">
        <f>VLOOKUP(D647,[1]apoio_Preços_MGS!$A$6:$AN$238,40,FALSE)</f>
        <v>548.94000000000005</v>
      </c>
      <c r="AP647" s="44">
        <f>IF(J647="demais municípios",VLOOKUP(D647,[1]apoio_Preços_MGS!$A$6:$AN$238,40,FALSE),0)</f>
        <v>0</v>
      </c>
      <c r="AQ647" s="44">
        <f>TRUNC(ROUND(($I647)/(1-($I647)),5)*VLOOKUP(D647,[1]apoio_Preços_MGS!$A$6:$AN$238,40,FALSE)+VLOOKUP(D647,[1]apoio_Preços_MGS!$A$6:$AN$238,40,FALSE),2)</f>
        <v>577.83000000000004</v>
      </c>
      <c r="AR647" s="45">
        <f t="shared" si="309"/>
        <v>2311.3200000000002</v>
      </c>
      <c r="AS647" s="45">
        <f t="shared" si="303"/>
        <v>3153.4</v>
      </c>
      <c r="AT647" s="45">
        <f t="shared" si="306"/>
        <v>189204</v>
      </c>
      <c r="AU647" s="62"/>
      <c r="AV647" s="46"/>
      <c r="AW647" s="47"/>
      <c r="AX647" s="48"/>
      <c r="AY647" s="49"/>
      <c r="BA647" s="48"/>
    </row>
    <row r="648" spans="1:53" ht="19.5" customHeight="1" x14ac:dyDescent="0.25">
      <c r="A648" s="33" t="str">
        <f t="shared" si="304"/>
        <v>63517400,02</v>
      </c>
      <c r="B648" s="33" t="str">
        <f t="shared" si="305"/>
        <v>1530,02</v>
      </c>
      <c r="C648" s="34" t="str">
        <f>VLOOKUP(D648,[1]apoio_Preços_MGS!$A$6:$B$238,2,FALSE)</f>
        <v>TÉCNICO ESPECIALIZADO</v>
      </c>
      <c r="D648" s="35">
        <v>153</v>
      </c>
      <c r="E648" s="33" t="str">
        <f>VLOOKUP(D648,[1]apoio_Preços_MGS!$A$6:$F$238,6,FALSE)</f>
        <v>TÉCNICO ESPECIALIZADO - DIARISTA DIURNO - 40H</v>
      </c>
      <c r="F648" s="36">
        <f>IFERROR(VLOOKUP(D648,'[1]apoio_cód catmas'!$B$2:$C$863,2,FALSE),0)</f>
        <v>63517</v>
      </c>
      <c r="G648" s="33" t="str">
        <f>IF(H648="N/A",VLOOKUP(F648&amp;40,'[1]apoio_cód catmas'!$A$1:$G$233,4,FALSE),VLOOKUP(F648&amp;H648,'[1]apoio_cód catmas'!$A$1:$G$233,4,FALSE))</f>
        <v>TECNICO ESPECIALIZADO - 40H OU 44H</v>
      </c>
      <c r="H648" s="36">
        <v>40</v>
      </c>
      <c r="I648" s="37">
        <v>0.02</v>
      </c>
      <c r="J648" s="38" t="s">
        <v>46</v>
      </c>
      <c r="K648" s="39">
        <v>30</v>
      </c>
      <c r="L648" s="39">
        <f t="shared" si="307"/>
        <v>1800</v>
      </c>
      <c r="M648" s="40">
        <f>VLOOKUP(D648,[1]apoio_Preços_MGS!$A$6:$AN$238,18,FALSE)</f>
        <v>3469.7606282833212</v>
      </c>
      <c r="N648" s="40">
        <f>VLOOKUP(D648,[1]apoio_Preços_MGS!$A$6:$AN$238,19,FALSE)</f>
        <v>0</v>
      </c>
      <c r="O648" s="40">
        <f>VLOOKUP(D648,[1]apoio_Preços_MGS!$A$6:$AN$238,20,FALSE)</f>
        <v>0</v>
      </c>
      <c r="P648" s="40">
        <f>VLOOKUP(D648,[1]apoio_Preços_MGS!$A$6:$AN$238,21,FALSE)</f>
        <v>0</v>
      </c>
      <c r="Q648" s="40">
        <f>VLOOKUP(D648,[1]apoio_Preços_MGS!$A$6:$AN$238,22,FALSE)</f>
        <v>0</v>
      </c>
      <c r="R648" s="40">
        <f>VLOOKUP(D648,[1]apoio_Preços_MGS!$A$6:$AN$238,23,FALSE)</f>
        <v>0</v>
      </c>
      <c r="S648" s="40">
        <f>VLOOKUP(D648,[1]apoio_Preços_MGS!$A$6:$AN$238,24,FALSE)</f>
        <v>0</v>
      </c>
      <c r="T648" s="40">
        <f>VLOOKUP(D648,[1]apoio_Preços_MGS!$A$6:$AN$238,25,FALSE)</f>
        <v>0</v>
      </c>
      <c r="U648" s="40">
        <f t="shared" si="301"/>
        <v>3469.7606282833212</v>
      </c>
      <c r="V648" s="41">
        <f>VLOOKUP(D648,[1]apoio_Preços_MGS!$A$6:$AN$238,27,FALSE)</f>
        <v>0.81799999999999995</v>
      </c>
      <c r="W648" s="40">
        <f t="shared" si="302"/>
        <v>2838.2641939357568</v>
      </c>
      <c r="X648" s="40">
        <f>VLOOKUP(D648,[1]apoio_Preços_MGS!$A$6:$AN$238,29,FALSE)</f>
        <v>25.948381261595543</v>
      </c>
      <c r="Y648" s="40">
        <f>VLOOKUP(D648,[1]apoio_Preços_MGS!$A$6:$AN$238,30,FALSE)</f>
        <v>3.1227443667443668</v>
      </c>
      <c r="Z648" s="40">
        <f t="shared" si="312"/>
        <v>29.07112562833991</v>
      </c>
      <c r="AA648" s="40">
        <f>VLOOKUP(D648,[1]apoio_Preços_MGS!$A$6:$AN$238,32,FALSE)</f>
        <v>6.6619404063039758</v>
      </c>
      <c r="AB648" s="40">
        <f>VLOOKUP(D648,[1]apoio_Preços_MGS!$A$6:$AN$238,33,FALSE)</f>
        <v>112.86165955473119</v>
      </c>
      <c r="AC648" s="41">
        <f>VLOOKUP(D648,[1]apoio_Preços_MGS!$A$6:$AN$238,34,FALSE)</f>
        <v>0</v>
      </c>
      <c r="AD648" s="40">
        <f>(U648+W648+Z648+AB648+AA648+VLOOKUP(C648,[1]apoio_Prec_Folha!$A:$S,7,FALSE))*AC648</f>
        <v>0</v>
      </c>
      <c r="AE648" s="42">
        <f>VLOOKUP(D648,[1]apoio_Preços_MGS!$A$6:$AN$238,36,FALSE)</f>
        <v>7.0000000000000007E-2</v>
      </c>
      <c r="AF648" s="40">
        <f>(U648+W648+Z648+AB648+AD648+AA648+VLOOKUP(C648,[1]apoio_Prec_Folha!$A:$S,7,FALSE))*AE648</f>
        <v>490.38958620373467</v>
      </c>
      <c r="AG648" s="40">
        <f t="shared" si="313"/>
        <v>6947</v>
      </c>
      <c r="AH648" s="43">
        <f t="shared" si="314"/>
        <v>7827.6</v>
      </c>
      <c r="AI648" s="43">
        <f t="shared" si="315"/>
        <v>234828</v>
      </c>
      <c r="AJ648" s="43">
        <f t="shared" si="316"/>
        <v>14089680</v>
      </c>
      <c r="AK648" s="44">
        <f>VLOOKUP(D648,[1]apoio_Preços_MGS!$A$6:$AN$238,39,FALSE)</f>
        <v>181.81818181818184</v>
      </c>
      <c r="AL648" s="44">
        <f>IF(J648="demais municípios",VLOOKUP(D648,[1]apoio_Preços_MGS!$A$6:$AN$238,39,FALSE),0)</f>
        <v>181.81818181818184</v>
      </c>
      <c r="AM648" s="44">
        <v>0</v>
      </c>
      <c r="AN648" s="45">
        <f t="shared" ref="AN648:AN655" si="329">AK648*K648</f>
        <v>5454.545454545455</v>
      </c>
      <c r="AO648" s="44">
        <f>VLOOKUP(D648,[1]apoio_Preços_MGS!$A$6:$AN$238,40,FALSE)</f>
        <v>548.94000000000005</v>
      </c>
      <c r="AP648" s="44">
        <f>IF(J648="demais municípios",VLOOKUP(D648,[1]apoio_Preços_MGS!$A$6:$AN$238,40,FALSE),0)</f>
        <v>548.94000000000005</v>
      </c>
      <c r="AQ648" s="44">
        <v>0</v>
      </c>
      <c r="AR648" s="45">
        <f t="shared" ref="AR648:AR655" si="330">AO648*K648</f>
        <v>16468.2</v>
      </c>
      <c r="AS648" s="45">
        <f t="shared" si="303"/>
        <v>21922.745454545457</v>
      </c>
      <c r="AT648" s="45">
        <f t="shared" si="306"/>
        <v>1315364.7272727273</v>
      </c>
      <c r="AU648" s="62"/>
      <c r="AV648" s="46"/>
      <c r="AW648" s="47"/>
      <c r="AX648" s="48"/>
      <c r="AY648" s="49"/>
      <c r="BA648" s="48"/>
    </row>
    <row r="649" spans="1:53" ht="19.5" customHeight="1" x14ac:dyDescent="0.25">
      <c r="A649" s="33" t="str">
        <f t="shared" si="304"/>
        <v>63517400,025</v>
      </c>
      <c r="B649" s="33" t="str">
        <f t="shared" si="305"/>
        <v>1530,025</v>
      </c>
      <c r="C649" s="34" t="str">
        <f>VLOOKUP(D649,[1]apoio_Preços_MGS!$A$6:$B$238,2,FALSE)</f>
        <v>TÉCNICO ESPECIALIZADO</v>
      </c>
      <c r="D649" s="35">
        <v>153</v>
      </c>
      <c r="E649" s="33" t="str">
        <f>VLOOKUP(D649,[1]apoio_Preços_MGS!$A$6:$F$238,6,FALSE)</f>
        <v>TÉCNICO ESPECIALIZADO - DIARISTA DIURNO - 40H</v>
      </c>
      <c r="F649" s="36">
        <f>IFERROR(VLOOKUP(D649,'[1]apoio_cód catmas'!$B$2:$C$863,2,FALSE),0)</f>
        <v>63517</v>
      </c>
      <c r="G649" s="33" t="str">
        <f>IF(H649="N/A",VLOOKUP(F649&amp;40,'[1]apoio_cód catmas'!$A$1:$G$233,4,FALSE),VLOOKUP(F649&amp;H649,'[1]apoio_cód catmas'!$A$1:$G$233,4,FALSE))</f>
        <v>TECNICO ESPECIALIZADO - 40H OU 44H</v>
      </c>
      <c r="H649" s="36">
        <v>40</v>
      </c>
      <c r="I649" s="37">
        <v>2.5000000000000001E-2</v>
      </c>
      <c r="J649" s="38" t="s">
        <v>46</v>
      </c>
      <c r="K649" s="39">
        <v>1</v>
      </c>
      <c r="L649" s="39">
        <f t="shared" si="307"/>
        <v>60</v>
      </c>
      <c r="M649" s="40">
        <f>VLOOKUP(D649,[1]apoio_Preços_MGS!$A$6:$AN$238,18,FALSE)</f>
        <v>3469.7606282833212</v>
      </c>
      <c r="N649" s="40">
        <f>VLOOKUP(D649,[1]apoio_Preços_MGS!$A$6:$AN$238,19,FALSE)</f>
        <v>0</v>
      </c>
      <c r="O649" s="40">
        <f>VLOOKUP(D649,[1]apoio_Preços_MGS!$A$6:$AN$238,20,FALSE)</f>
        <v>0</v>
      </c>
      <c r="P649" s="40">
        <f>VLOOKUP(D649,[1]apoio_Preços_MGS!$A$6:$AN$238,21,FALSE)</f>
        <v>0</v>
      </c>
      <c r="Q649" s="40">
        <f>VLOOKUP(D649,[1]apoio_Preços_MGS!$A$6:$AN$238,22,FALSE)</f>
        <v>0</v>
      </c>
      <c r="R649" s="40">
        <f>VLOOKUP(D649,[1]apoio_Preços_MGS!$A$6:$AN$238,23,FALSE)</f>
        <v>0</v>
      </c>
      <c r="S649" s="40">
        <f>VLOOKUP(D649,[1]apoio_Preços_MGS!$A$6:$AN$238,24,FALSE)</f>
        <v>0</v>
      </c>
      <c r="T649" s="40">
        <f>VLOOKUP(D649,[1]apoio_Preços_MGS!$A$6:$AN$238,25,FALSE)</f>
        <v>0</v>
      </c>
      <c r="U649" s="40">
        <f t="shared" si="301"/>
        <v>3469.7606282833212</v>
      </c>
      <c r="V649" s="41">
        <f>VLOOKUP(D649,[1]apoio_Preços_MGS!$A$6:$AN$238,27,FALSE)</f>
        <v>0.81799999999999995</v>
      </c>
      <c r="W649" s="40">
        <f t="shared" si="302"/>
        <v>2838.2641939357568</v>
      </c>
      <c r="X649" s="40">
        <f>VLOOKUP(D649,[1]apoio_Preços_MGS!$A$6:$AN$238,29,FALSE)</f>
        <v>25.948381261595543</v>
      </c>
      <c r="Y649" s="40">
        <f>VLOOKUP(D649,[1]apoio_Preços_MGS!$A$6:$AN$238,30,FALSE)</f>
        <v>3.1227443667443668</v>
      </c>
      <c r="Z649" s="40">
        <f t="shared" si="312"/>
        <v>29.07112562833991</v>
      </c>
      <c r="AA649" s="40">
        <f>VLOOKUP(D649,[1]apoio_Preços_MGS!$A$6:$AN$238,32,FALSE)</f>
        <v>6.6619404063039758</v>
      </c>
      <c r="AB649" s="40">
        <f>VLOOKUP(D649,[1]apoio_Preços_MGS!$A$6:$AN$238,33,FALSE)</f>
        <v>112.86165955473119</v>
      </c>
      <c r="AC649" s="41">
        <f>VLOOKUP(D649,[1]apoio_Preços_MGS!$A$6:$AN$238,34,FALSE)</f>
        <v>0</v>
      </c>
      <c r="AD649" s="40">
        <f>(U649+W649+Z649+AB649+AA649+VLOOKUP(C649,[1]apoio_Prec_Folha!$A:$S,7,FALSE))*AC649</f>
        <v>0</v>
      </c>
      <c r="AE649" s="42">
        <f>VLOOKUP(D649,[1]apoio_Preços_MGS!$A$6:$AN$238,36,FALSE)</f>
        <v>7.0000000000000007E-2</v>
      </c>
      <c r="AF649" s="40">
        <f>(U649+W649+Z649+AB649+AD649+AA649+VLOOKUP(C649,[1]apoio_Prec_Folha!$A:$S,7,FALSE))*AE649</f>
        <v>490.38958620373467</v>
      </c>
      <c r="AG649" s="40">
        <f t="shared" si="313"/>
        <v>6947</v>
      </c>
      <c r="AH649" s="43">
        <f t="shared" si="314"/>
        <v>7871.92</v>
      </c>
      <c r="AI649" s="43">
        <f t="shared" si="315"/>
        <v>7871.92</v>
      </c>
      <c r="AJ649" s="43">
        <f t="shared" si="316"/>
        <v>472315.2</v>
      </c>
      <c r="AK649" s="44">
        <f>VLOOKUP(D649,[1]apoio_Preços_MGS!$A$6:$AN$238,39,FALSE)</f>
        <v>181.81818181818184</v>
      </c>
      <c r="AL649" s="44">
        <f>IF(J649="demais municípios",VLOOKUP(D649,[1]apoio_Preços_MGS!$A$6:$AN$238,39,FALSE),0)</f>
        <v>181.81818181818184</v>
      </c>
      <c r="AM649" s="44">
        <v>0</v>
      </c>
      <c r="AN649" s="45">
        <f t="shared" si="329"/>
        <v>181.81818181818184</v>
      </c>
      <c r="AO649" s="44">
        <f>VLOOKUP(D649,[1]apoio_Preços_MGS!$A$6:$AN$238,40,FALSE)</f>
        <v>548.94000000000005</v>
      </c>
      <c r="AP649" s="44">
        <f>IF(J649="demais municípios",VLOOKUP(D649,[1]apoio_Preços_MGS!$A$6:$AN$238,40,FALSE),0)</f>
        <v>548.94000000000005</v>
      </c>
      <c r="AQ649" s="44">
        <v>0</v>
      </c>
      <c r="AR649" s="45">
        <f t="shared" si="330"/>
        <v>548.94000000000005</v>
      </c>
      <c r="AS649" s="45">
        <f t="shared" si="303"/>
        <v>730.75818181818192</v>
      </c>
      <c r="AT649" s="45">
        <f t="shared" si="306"/>
        <v>43845.490909090913</v>
      </c>
      <c r="AU649" s="62"/>
      <c r="AV649" s="46"/>
      <c r="AW649" s="47"/>
      <c r="AX649" s="48"/>
      <c r="AY649" s="49"/>
      <c r="BA649" s="48"/>
    </row>
    <row r="650" spans="1:53" ht="19.5" customHeight="1" x14ac:dyDescent="0.25">
      <c r="A650" s="33" t="str">
        <f t="shared" si="304"/>
        <v>63517400,03</v>
      </c>
      <c r="B650" s="33" t="str">
        <f t="shared" si="305"/>
        <v>1530,03</v>
      </c>
      <c r="C650" s="34" t="str">
        <f>VLOOKUP(D650,[1]apoio_Preços_MGS!$A$6:$B$238,2,FALSE)</f>
        <v>TÉCNICO ESPECIALIZADO</v>
      </c>
      <c r="D650" s="35">
        <v>153</v>
      </c>
      <c r="E650" s="33" t="str">
        <f>VLOOKUP(D650,[1]apoio_Preços_MGS!$A$6:$F$238,6,FALSE)</f>
        <v>TÉCNICO ESPECIALIZADO - DIARISTA DIURNO - 40H</v>
      </c>
      <c r="F650" s="36">
        <f>IFERROR(VLOOKUP(D650,'[1]apoio_cód catmas'!$B$2:$C$863,2,FALSE),0)</f>
        <v>63517</v>
      </c>
      <c r="G650" s="33" t="str">
        <f>IF(H650="N/A",VLOOKUP(F650&amp;40,'[1]apoio_cód catmas'!$A$1:$G$233,4,FALSE),VLOOKUP(F650&amp;H650,'[1]apoio_cód catmas'!$A$1:$G$233,4,FALSE))</f>
        <v>TECNICO ESPECIALIZADO - 40H OU 44H</v>
      </c>
      <c r="H650" s="36">
        <v>40</v>
      </c>
      <c r="I650" s="37">
        <v>0.03</v>
      </c>
      <c r="J650" s="38" t="s">
        <v>46</v>
      </c>
      <c r="K650" s="39">
        <f>54-3</f>
        <v>51</v>
      </c>
      <c r="L650" s="39">
        <f t="shared" si="307"/>
        <v>3060</v>
      </c>
      <c r="M650" s="40">
        <f>VLOOKUP(D650,[1]apoio_Preços_MGS!$A$6:$AN$238,18,FALSE)</f>
        <v>3469.7606282833212</v>
      </c>
      <c r="N650" s="40">
        <f>VLOOKUP(D650,[1]apoio_Preços_MGS!$A$6:$AN$238,19,FALSE)</f>
        <v>0</v>
      </c>
      <c r="O650" s="40">
        <f>VLOOKUP(D650,[1]apoio_Preços_MGS!$A$6:$AN$238,20,FALSE)</f>
        <v>0</v>
      </c>
      <c r="P650" s="40">
        <f>VLOOKUP(D650,[1]apoio_Preços_MGS!$A$6:$AN$238,21,FALSE)</f>
        <v>0</v>
      </c>
      <c r="Q650" s="40">
        <f>VLOOKUP(D650,[1]apoio_Preços_MGS!$A$6:$AN$238,22,FALSE)</f>
        <v>0</v>
      </c>
      <c r="R650" s="40">
        <f>VLOOKUP(D650,[1]apoio_Preços_MGS!$A$6:$AN$238,23,FALSE)</f>
        <v>0</v>
      </c>
      <c r="S650" s="40">
        <f>VLOOKUP(D650,[1]apoio_Preços_MGS!$A$6:$AN$238,24,FALSE)</f>
        <v>0</v>
      </c>
      <c r="T650" s="40">
        <f>VLOOKUP(D650,[1]apoio_Preços_MGS!$A$6:$AN$238,25,FALSE)</f>
        <v>0</v>
      </c>
      <c r="U650" s="40">
        <f t="shared" si="301"/>
        <v>3469.7606282833212</v>
      </c>
      <c r="V650" s="41">
        <f>VLOOKUP(D650,[1]apoio_Preços_MGS!$A$6:$AN$238,27,FALSE)</f>
        <v>0.81799999999999995</v>
      </c>
      <c r="W650" s="40">
        <f t="shared" si="302"/>
        <v>2838.2641939357568</v>
      </c>
      <c r="X650" s="40">
        <f>VLOOKUP(D650,[1]apoio_Preços_MGS!$A$6:$AN$238,29,FALSE)</f>
        <v>25.948381261595543</v>
      </c>
      <c r="Y650" s="40">
        <f>VLOOKUP(D650,[1]apoio_Preços_MGS!$A$6:$AN$238,30,FALSE)</f>
        <v>3.1227443667443668</v>
      </c>
      <c r="Z650" s="40">
        <f t="shared" si="312"/>
        <v>29.07112562833991</v>
      </c>
      <c r="AA650" s="40">
        <f>VLOOKUP(D650,[1]apoio_Preços_MGS!$A$6:$AN$238,32,FALSE)</f>
        <v>6.6619404063039758</v>
      </c>
      <c r="AB650" s="40">
        <f>VLOOKUP(D650,[1]apoio_Preços_MGS!$A$6:$AN$238,33,FALSE)</f>
        <v>112.86165955473119</v>
      </c>
      <c r="AC650" s="41">
        <f>VLOOKUP(D650,[1]apoio_Preços_MGS!$A$6:$AN$238,34,FALSE)</f>
        <v>0</v>
      </c>
      <c r="AD650" s="40">
        <f>(U650+W650+Z650+AB650+AA650+VLOOKUP(C650,[1]apoio_Prec_Folha!$A:$S,7,FALSE))*AC650</f>
        <v>0</v>
      </c>
      <c r="AE650" s="42">
        <f>VLOOKUP(D650,[1]apoio_Preços_MGS!$A$6:$AN$238,36,FALSE)</f>
        <v>7.0000000000000007E-2</v>
      </c>
      <c r="AF650" s="40">
        <f>(U650+W650+Z650+AB650+AD650+AA650+VLOOKUP(C650,[1]apoio_Prec_Folha!$A:$S,7,FALSE))*AE650</f>
        <v>490.38958620373467</v>
      </c>
      <c r="AG650" s="40">
        <f t="shared" si="313"/>
        <v>6947</v>
      </c>
      <c r="AH650" s="43">
        <f t="shared" si="314"/>
        <v>7916.8</v>
      </c>
      <c r="AI650" s="43">
        <f t="shared" si="315"/>
        <v>403756.79999999999</v>
      </c>
      <c r="AJ650" s="43">
        <f t="shared" si="316"/>
        <v>24225408</v>
      </c>
      <c r="AK650" s="44">
        <f>VLOOKUP(D650,[1]apoio_Preços_MGS!$A$6:$AN$238,39,FALSE)</f>
        <v>181.81818181818184</v>
      </c>
      <c r="AL650" s="44">
        <f>IF(J650="demais municípios",VLOOKUP(D650,[1]apoio_Preços_MGS!$A$6:$AN$238,39,FALSE),0)</f>
        <v>181.81818181818184</v>
      </c>
      <c r="AM650" s="44">
        <v>0</v>
      </c>
      <c r="AN650" s="45">
        <f t="shared" si="329"/>
        <v>9272.7272727272739</v>
      </c>
      <c r="AO650" s="44">
        <f>VLOOKUP(D650,[1]apoio_Preços_MGS!$A$6:$AN$238,40,FALSE)</f>
        <v>548.94000000000005</v>
      </c>
      <c r="AP650" s="44">
        <f>IF(J650="demais municípios",VLOOKUP(D650,[1]apoio_Preços_MGS!$A$6:$AN$238,40,FALSE),0)</f>
        <v>548.94000000000005</v>
      </c>
      <c r="AQ650" s="44">
        <v>0</v>
      </c>
      <c r="AR650" s="45">
        <f t="shared" si="330"/>
        <v>27995.940000000002</v>
      </c>
      <c r="AS650" s="45">
        <f t="shared" si="303"/>
        <v>37268.667272727274</v>
      </c>
      <c r="AT650" s="45">
        <f t="shared" si="306"/>
        <v>2236120.0363636366</v>
      </c>
      <c r="AU650" s="62"/>
      <c r="AV650" s="46"/>
      <c r="AW650" s="47"/>
      <c r="AX650" s="48"/>
      <c r="AY650" s="49"/>
      <c r="BA650" s="48"/>
    </row>
    <row r="651" spans="1:53" ht="19.5" customHeight="1" x14ac:dyDescent="0.25">
      <c r="A651" s="33" t="str">
        <f t="shared" ref="A651:A715" si="331">CONCATENATE(F651,H651,I651)</f>
        <v>63517400,03</v>
      </c>
      <c r="B651" s="33" t="str">
        <f t="shared" ref="B651:B715" si="332">CONCATENATE(D651,I651)</f>
        <v>1530,03</v>
      </c>
      <c r="C651" s="34" t="str">
        <f>VLOOKUP(D651,[1]apoio_Preços_MGS!$A$6:$B$238,2,FALSE)</f>
        <v>TÉCNICO ESPECIALIZADO</v>
      </c>
      <c r="D651" s="35">
        <v>153</v>
      </c>
      <c r="E651" s="33" t="str">
        <f>VLOOKUP(D651,[1]apoio_Preços_MGS!$A$6:$F$238,6,FALSE)</f>
        <v>TÉCNICO ESPECIALIZADO - DIARISTA DIURNO - 40H</v>
      </c>
      <c r="F651" s="36">
        <f>IFERROR(VLOOKUP(D651,'[1]apoio_cód catmas'!$B$2:$C$863,2,FALSE),0)</f>
        <v>63517</v>
      </c>
      <c r="G651" s="33" t="str">
        <f>IF(H651="N/A",VLOOKUP(F651&amp;40,'[1]apoio_cód catmas'!$A$1:$G$233,4,FALSE),VLOOKUP(F651&amp;H651,'[1]apoio_cód catmas'!$A$1:$G$233,4,FALSE))</f>
        <v>TECNICO ESPECIALIZADO - 40H OU 44H</v>
      </c>
      <c r="H651" s="36">
        <v>40</v>
      </c>
      <c r="I651" s="37">
        <v>0.03</v>
      </c>
      <c r="J651" s="38" t="s">
        <v>46</v>
      </c>
      <c r="K651" s="39">
        <v>1</v>
      </c>
      <c r="L651" s="39">
        <f>K651*56</f>
        <v>56</v>
      </c>
      <c r="M651" s="40">
        <f>VLOOKUP(D651,[1]apoio_Preços_MGS!$A$6:$AN$238,18,FALSE)</f>
        <v>3469.7606282833212</v>
      </c>
      <c r="N651" s="40">
        <f>VLOOKUP(D651,[1]apoio_Preços_MGS!$A$6:$AN$238,19,FALSE)</f>
        <v>0</v>
      </c>
      <c r="O651" s="40">
        <f>VLOOKUP(D651,[1]apoio_Preços_MGS!$A$6:$AN$238,20,FALSE)</f>
        <v>0</v>
      </c>
      <c r="P651" s="40">
        <f>VLOOKUP(D651,[1]apoio_Preços_MGS!$A$6:$AN$238,21,FALSE)</f>
        <v>0</v>
      </c>
      <c r="Q651" s="40">
        <f>VLOOKUP(D651,[1]apoio_Preços_MGS!$A$6:$AN$238,22,FALSE)</f>
        <v>0</v>
      </c>
      <c r="R651" s="40">
        <f>VLOOKUP(D651,[1]apoio_Preços_MGS!$A$6:$AN$238,23,FALSE)</f>
        <v>0</v>
      </c>
      <c r="S651" s="40">
        <f>VLOOKUP(D651,[1]apoio_Preços_MGS!$A$6:$AN$238,24,FALSE)</f>
        <v>0</v>
      </c>
      <c r="T651" s="40">
        <f>VLOOKUP(D651,[1]apoio_Preços_MGS!$A$6:$AN$238,25,FALSE)</f>
        <v>0</v>
      </c>
      <c r="U651" s="40">
        <f t="shared" si="301"/>
        <v>3469.7606282833212</v>
      </c>
      <c r="V651" s="41">
        <f>VLOOKUP(D651,[1]apoio_Preços_MGS!$A$6:$AN$238,27,FALSE)</f>
        <v>0.81799999999999995</v>
      </c>
      <c r="W651" s="40">
        <f t="shared" si="302"/>
        <v>2838.2641939357568</v>
      </c>
      <c r="X651" s="40">
        <f>VLOOKUP(D651,[1]apoio_Preços_MGS!$A$6:$AN$238,29,FALSE)</f>
        <v>25.948381261595543</v>
      </c>
      <c r="Y651" s="40">
        <f>VLOOKUP(D651,[1]apoio_Preços_MGS!$A$6:$AN$238,30,FALSE)</f>
        <v>3.1227443667443668</v>
      </c>
      <c r="Z651" s="40">
        <f t="shared" si="312"/>
        <v>29.07112562833991</v>
      </c>
      <c r="AA651" s="40">
        <f>VLOOKUP(D651,[1]apoio_Preços_MGS!$A$6:$AN$238,32,FALSE)</f>
        <v>6.6619404063039758</v>
      </c>
      <c r="AB651" s="40">
        <f>VLOOKUP(D651,[1]apoio_Preços_MGS!$A$6:$AN$238,33,FALSE)</f>
        <v>112.86165955473119</v>
      </c>
      <c r="AC651" s="41">
        <f>VLOOKUP(D651,[1]apoio_Preços_MGS!$A$6:$AN$238,34,FALSE)</f>
        <v>0</v>
      </c>
      <c r="AD651" s="40">
        <f>(U651+W651+Z651+AB651+AA651+VLOOKUP(C651,[1]apoio_Prec_Folha!$A:$S,7,FALSE))*AC651</f>
        <v>0</v>
      </c>
      <c r="AE651" s="42">
        <f>VLOOKUP(D651,[1]apoio_Preços_MGS!$A$6:$AN$238,36,FALSE)</f>
        <v>7.0000000000000007E-2</v>
      </c>
      <c r="AF651" s="40">
        <f>(U651+W651+Z651+AB651+AD651+AA651+VLOOKUP(C651,[1]apoio_Prec_Folha!$A:$S,7,FALSE))*AE651</f>
        <v>490.38958620373467</v>
      </c>
      <c r="AG651" s="40">
        <f t="shared" si="313"/>
        <v>6947</v>
      </c>
      <c r="AH651" s="43">
        <f t="shared" si="314"/>
        <v>7916.8</v>
      </c>
      <c r="AI651" s="43">
        <f t="shared" si="315"/>
        <v>7916.8</v>
      </c>
      <c r="AJ651" s="43">
        <f t="shared" si="316"/>
        <v>443340.79999999999</v>
      </c>
      <c r="AK651" s="44">
        <f>VLOOKUP(D651,[1]apoio_Preços_MGS!$A$6:$AN$238,39,FALSE)</f>
        <v>181.81818181818184</v>
      </c>
      <c r="AL651" s="44">
        <f>IF(J651="demais municípios",VLOOKUP(D651,[1]apoio_Preços_MGS!$A$6:$AN$238,39,FALSE),0)</f>
        <v>181.81818181818184</v>
      </c>
      <c r="AM651" s="44">
        <v>0</v>
      </c>
      <c r="AN651" s="45">
        <f t="shared" si="329"/>
        <v>181.81818181818184</v>
      </c>
      <c r="AO651" s="44">
        <f>VLOOKUP(D651,[1]apoio_Preços_MGS!$A$6:$AN$238,40,FALSE)</f>
        <v>548.94000000000005</v>
      </c>
      <c r="AP651" s="44">
        <f>IF(J651="demais municípios",VLOOKUP(D651,[1]apoio_Preços_MGS!$A$6:$AN$238,40,FALSE),0)</f>
        <v>548.94000000000005</v>
      </c>
      <c r="AQ651" s="44">
        <v>0</v>
      </c>
      <c r="AR651" s="45">
        <f t="shared" si="330"/>
        <v>548.94000000000005</v>
      </c>
      <c r="AS651" s="45">
        <f t="shared" ref="AS651:AS714" si="333">AN651+AR651</f>
        <v>730.75818181818192</v>
      </c>
      <c r="AT651" s="45">
        <f t="shared" si="306"/>
        <v>43845.490909090913</v>
      </c>
      <c r="AU651" s="62"/>
      <c r="AV651" s="46"/>
      <c r="AW651" s="47"/>
      <c r="AX651" s="48"/>
      <c r="AY651" s="49"/>
      <c r="BA651" s="48"/>
    </row>
    <row r="652" spans="1:53" ht="19.5" customHeight="1" x14ac:dyDescent="0.25">
      <c r="A652" s="33" t="str">
        <f t="shared" si="331"/>
        <v>63517400,035</v>
      </c>
      <c r="B652" s="33" t="str">
        <f t="shared" si="332"/>
        <v>1530,035</v>
      </c>
      <c r="C652" s="34" t="str">
        <f>VLOOKUP(D652,[1]apoio_Preços_MGS!$A$6:$B$238,2,FALSE)</f>
        <v>TÉCNICO ESPECIALIZADO</v>
      </c>
      <c r="D652" s="35">
        <v>153</v>
      </c>
      <c r="E652" s="33" t="str">
        <f>VLOOKUP(D652,[1]apoio_Preços_MGS!$A$6:$F$238,6,FALSE)</f>
        <v>TÉCNICO ESPECIALIZADO - DIARISTA DIURNO - 40H</v>
      </c>
      <c r="F652" s="36">
        <f>IFERROR(VLOOKUP(D652,'[1]apoio_cód catmas'!$B$2:$C$863,2,FALSE),0)</f>
        <v>63517</v>
      </c>
      <c r="G652" s="33" t="str">
        <f>IF(H652="N/A",VLOOKUP(F652&amp;40,'[1]apoio_cód catmas'!$A$1:$G$233,4,FALSE),VLOOKUP(F652&amp;H652,'[1]apoio_cód catmas'!$A$1:$G$233,4,FALSE))</f>
        <v>TECNICO ESPECIALIZADO - 40H OU 44H</v>
      </c>
      <c r="H652" s="36">
        <v>40</v>
      </c>
      <c r="I652" s="37">
        <v>3.5000000000000003E-2</v>
      </c>
      <c r="J652" s="38" t="s">
        <v>46</v>
      </c>
      <c r="K652" s="39">
        <v>7</v>
      </c>
      <c r="L652" s="39">
        <f t="shared" ref="L652:L728" si="334">K652*60</f>
        <v>420</v>
      </c>
      <c r="M652" s="40">
        <f>VLOOKUP(D652,[1]apoio_Preços_MGS!$A$6:$AN$238,18,FALSE)</f>
        <v>3469.7606282833212</v>
      </c>
      <c r="N652" s="40">
        <f>VLOOKUP(D652,[1]apoio_Preços_MGS!$A$6:$AN$238,19,FALSE)</f>
        <v>0</v>
      </c>
      <c r="O652" s="40">
        <f>VLOOKUP(D652,[1]apoio_Preços_MGS!$A$6:$AN$238,20,FALSE)</f>
        <v>0</v>
      </c>
      <c r="P652" s="40">
        <f>VLOOKUP(D652,[1]apoio_Preços_MGS!$A$6:$AN$238,21,FALSE)</f>
        <v>0</v>
      </c>
      <c r="Q652" s="40">
        <f>VLOOKUP(D652,[1]apoio_Preços_MGS!$A$6:$AN$238,22,FALSE)</f>
        <v>0</v>
      </c>
      <c r="R652" s="40">
        <f>VLOOKUP(D652,[1]apoio_Preços_MGS!$A$6:$AN$238,23,FALSE)</f>
        <v>0</v>
      </c>
      <c r="S652" s="40">
        <f>VLOOKUP(D652,[1]apoio_Preços_MGS!$A$6:$AN$238,24,FALSE)</f>
        <v>0</v>
      </c>
      <c r="T652" s="40">
        <f>VLOOKUP(D652,[1]apoio_Preços_MGS!$A$6:$AN$238,25,FALSE)</f>
        <v>0</v>
      </c>
      <c r="U652" s="40">
        <f t="shared" si="301"/>
        <v>3469.7606282833212</v>
      </c>
      <c r="V652" s="41">
        <f>VLOOKUP(D652,[1]apoio_Preços_MGS!$A$6:$AN$238,27,FALSE)</f>
        <v>0.81799999999999995</v>
      </c>
      <c r="W652" s="40">
        <f t="shared" si="302"/>
        <v>2838.2641939357568</v>
      </c>
      <c r="X652" s="40">
        <f>VLOOKUP(D652,[1]apoio_Preços_MGS!$A$6:$AN$238,29,FALSE)</f>
        <v>25.948381261595543</v>
      </c>
      <c r="Y652" s="40">
        <f>VLOOKUP(D652,[1]apoio_Preços_MGS!$A$6:$AN$238,30,FALSE)</f>
        <v>3.1227443667443668</v>
      </c>
      <c r="Z652" s="40">
        <f t="shared" si="312"/>
        <v>29.07112562833991</v>
      </c>
      <c r="AA652" s="40">
        <f>VLOOKUP(D652,[1]apoio_Preços_MGS!$A$6:$AN$238,32,FALSE)</f>
        <v>6.6619404063039758</v>
      </c>
      <c r="AB652" s="40">
        <f>VLOOKUP(D652,[1]apoio_Preços_MGS!$A$6:$AN$238,33,FALSE)</f>
        <v>112.86165955473119</v>
      </c>
      <c r="AC652" s="41">
        <f>VLOOKUP(D652,[1]apoio_Preços_MGS!$A$6:$AN$238,34,FALSE)</f>
        <v>0</v>
      </c>
      <c r="AD652" s="40">
        <f>(U652+W652+Z652+AB652+AA652+VLOOKUP(C652,[1]apoio_Prec_Folha!$A:$S,7,FALSE))*AC652</f>
        <v>0</v>
      </c>
      <c r="AE652" s="42">
        <f>VLOOKUP(D652,[1]apoio_Preços_MGS!$A$6:$AN$238,36,FALSE)</f>
        <v>7.0000000000000007E-2</v>
      </c>
      <c r="AF652" s="40">
        <f>(U652+W652+Z652+AB652+AD652+AA652+VLOOKUP(C652,[1]apoio_Prec_Folha!$A:$S,7,FALSE))*AE652</f>
        <v>490.38958620373467</v>
      </c>
      <c r="AG652" s="40">
        <f t="shared" si="313"/>
        <v>6947</v>
      </c>
      <c r="AH652" s="43">
        <f t="shared" si="314"/>
        <v>7962.16</v>
      </c>
      <c r="AI652" s="43">
        <f t="shared" si="315"/>
        <v>55735.119999999995</v>
      </c>
      <c r="AJ652" s="43">
        <f t="shared" si="316"/>
        <v>3344107.1999999997</v>
      </c>
      <c r="AK652" s="44">
        <f>VLOOKUP(D652,[1]apoio_Preços_MGS!$A$6:$AN$238,39,FALSE)</f>
        <v>181.81818181818184</v>
      </c>
      <c r="AL652" s="44">
        <f>IF(J652="demais municípios",VLOOKUP(D652,[1]apoio_Preços_MGS!$A$6:$AN$238,39,FALSE),0)</f>
        <v>181.81818181818184</v>
      </c>
      <c r="AM652" s="44">
        <v>0</v>
      </c>
      <c r="AN652" s="45">
        <f t="shared" si="329"/>
        <v>1272.727272727273</v>
      </c>
      <c r="AO652" s="44">
        <f>VLOOKUP(D652,[1]apoio_Preços_MGS!$A$6:$AN$238,40,FALSE)</f>
        <v>548.94000000000005</v>
      </c>
      <c r="AP652" s="44">
        <f>IF(J652="demais municípios",VLOOKUP(D652,[1]apoio_Preços_MGS!$A$6:$AN$238,40,FALSE),0)</f>
        <v>548.94000000000005</v>
      </c>
      <c r="AQ652" s="44">
        <v>0</v>
      </c>
      <c r="AR652" s="45">
        <f t="shared" si="330"/>
        <v>3842.5800000000004</v>
      </c>
      <c r="AS652" s="45">
        <f t="shared" si="333"/>
        <v>5115.3072727272738</v>
      </c>
      <c r="AT652" s="45">
        <f t="shared" ref="AT652:AT715" si="335">(AN652+AR652)*60</f>
        <v>306918.4363636364</v>
      </c>
      <c r="AU652" s="62"/>
      <c r="AV652" s="46"/>
      <c r="AW652" s="47"/>
      <c r="AX652" s="48"/>
      <c r="AY652" s="49"/>
      <c r="BA652" s="48"/>
    </row>
    <row r="653" spans="1:53" ht="19.5" customHeight="1" x14ac:dyDescent="0.25">
      <c r="A653" s="33" t="str">
        <f t="shared" si="331"/>
        <v>63517400,04</v>
      </c>
      <c r="B653" s="33" t="str">
        <f t="shared" si="332"/>
        <v>1530,04</v>
      </c>
      <c r="C653" s="34" t="str">
        <f>VLOOKUP(D653,[1]apoio_Preços_MGS!$A$6:$B$238,2,FALSE)</f>
        <v>TÉCNICO ESPECIALIZADO</v>
      </c>
      <c r="D653" s="35">
        <v>153</v>
      </c>
      <c r="E653" s="33" t="str">
        <f>VLOOKUP(D653,[1]apoio_Preços_MGS!$A$6:$F$238,6,FALSE)</f>
        <v>TÉCNICO ESPECIALIZADO - DIARISTA DIURNO - 40H</v>
      </c>
      <c r="F653" s="36">
        <f>IFERROR(VLOOKUP(D653,'[1]apoio_cód catmas'!$B$2:$C$863,2,FALSE),0)</f>
        <v>63517</v>
      </c>
      <c r="G653" s="33" t="str">
        <f>IF(H653="N/A",VLOOKUP(F653&amp;40,'[1]apoio_cód catmas'!$A$1:$G$233,4,FALSE),VLOOKUP(F653&amp;H653,'[1]apoio_cód catmas'!$A$1:$G$233,4,FALSE))</f>
        <v>TECNICO ESPECIALIZADO - 40H OU 44H</v>
      </c>
      <c r="H653" s="36">
        <v>40</v>
      </c>
      <c r="I653" s="37">
        <v>0.04</v>
      </c>
      <c r="J653" s="38" t="s">
        <v>46</v>
      </c>
      <c r="K653" s="39">
        <v>10</v>
      </c>
      <c r="L653" s="39">
        <f t="shared" si="334"/>
        <v>600</v>
      </c>
      <c r="M653" s="40">
        <f>VLOOKUP(D653,[1]apoio_Preços_MGS!$A$6:$AN$238,18,FALSE)</f>
        <v>3469.7606282833212</v>
      </c>
      <c r="N653" s="40">
        <f>VLOOKUP(D653,[1]apoio_Preços_MGS!$A$6:$AN$238,19,FALSE)</f>
        <v>0</v>
      </c>
      <c r="O653" s="40">
        <f>VLOOKUP(D653,[1]apoio_Preços_MGS!$A$6:$AN$238,20,FALSE)</f>
        <v>0</v>
      </c>
      <c r="P653" s="40">
        <f>VLOOKUP(D653,[1]apoio_Preços_MGS!$A$6:$AN$238,21,FALSE)</f>
        <v>0</v>
      </c>
      <c r="Q653" s="40">
        <f>VLOOKUP(D653,[1]apoio_Preços_MGS!$A$6:$AN$238,22,FALSE)</f>
        <v>0</v>
      </c>
      <c r="R653" s="40">
        <f>VLOOKUP(D653,[1]apoio_Preços_MGS!$A$6:$AN$238,23,FALSE)</f>
        <v>0</v>
      </c>
      <c r="S653" s="40">
        <f>VLOOKUP(D653,[1]apoio_Preços_MGS!$A$6:$AN$238,24,FALSE)</f>
        <v>0</v>
      </c>
      <c r="T653" s="40">
        <f>VLOOKUP(D653,[1]apoio_Preços_MGS!$A$6:$AN$238,25,FALSE)</f>
        <v>0</v>
      </c>
      <c r="U653" s="40">
        <f t="shared" si="301"/>
        <v>3469.7606282833212</v>
      </c>
      <c r="V653" s="41">
        <f>VLOOKUP(D653,[1]apoio_Preços_MGS!$A$6:$AN$238,27,FALSE)</f>
        <v>0.81799999999999995</v>
      </c>
      <c r="W653" s="40">
        <f t="shared" si="302"/>
        <v>2838.2641939357568</v>
      </c>
      <c r="X653" s="40">
        <f>VLOOKUP(D653,[1]apoio_Preços_MGS!$A$6:$AN$238,29,FALSE)</f>
        <v>25.948381261595543</v>
      </c>
      <c r="Y653" s="40">
        <f>VLOOKUP(D653,[1]apoio_Preços_MGS!$A$6:$AN$238,30,FALSE)</f>
        <v>3.1227443667443668</v>
      </c>
      <c r="Z653" s="40">
        <f t="shared" si="312"/>
        <v>29.07112562833991</v>
      </c>
      <c r="AA653" s="40">
        <f>VLOOKUP(D653,[1]apoio_Preços_MGS!$A$6:$AN$238,32,FALSE)</f>
        <v>6.6619404063039758</v>
      </c>
      <c r="AB653" s="40">
        <f>VLOOKUP(D653,[1]apoio_Preços_MGS!$A$6:$AN$238,33,FALSE)</f>
        <v>112.86165955473119</v>
      </c>
      <c r="AC653" s="41">
        <f>VLOOKUP(D653,[1]apoio_Preços_MGS!$A$6:$AN$238,34,FALSE)</f>
        <v>0</v>
      </c>
      <c r="AD653" s="40">
        <f>(U653+W653+Z653+AB653+AA653+VLOOKUP(C653,[1]apoio_Prec_Folha!$A:$S,7,FALSE))*AC653</f>
        <v>0</v>
      </c>
      <c r="AE653" s="42">
        <f>VLOOKUP(D653,[1]apoio_Preços_MGS!$A$6:$AN$238,36,FALSE)</f>
        <v>7.0000000000000007E-2</v>
      </c>
      <c r="AF653" s="40">
        <f>(U653+W653+Z653+AB653+AD653+AA653+VLOOKUP(C653,[1]apoio_Prec_Folha!$A:$S,7,FALSE))*AE653</f>
        <v>490.38958620373467</v>
      </c>
      <c r="AG653" s="40">
        <f t="shared" si="313"/>
        <v>6947</v>
      </c>
      <c r="AH653" s="43">
        <f t="shared" si="314"/>
        <v>8008.08</v>
      </c>
      <c r="AI653" s="43">
        <f t="shared" si="315"/>
        <v>80080.800000000003</v>
      </c>
      <c r="AJ653" s="43">
        <f t="shared" si="316"/>
        <v>4804848</v>
      </c>
      <c r="AK653" s="44">
        <f>VLOOKUP(D653,[1]apoio_Preços_MGS!$A$6:$AN$238,39,FALSE)</f>
        <v>181.81818181818184</v>
      </c>
      <c r="AL653" s="44">
        <f>IF(J653="demais municípios",VLOOKUP(D653,[1]apoio_Preços_MGS!$A$6:$AN$238,39,FALSE),0)</f>
        <v>181.81818181818184</v>
      </c>
      <c r="AM653" s="44">
        <v>0</v>
      </c>
      <c r="AN653" s="45">
        <f t="shared" si="329"/>
        <v>1818.1818181818185</v>
      </c>
      <c r="AO653" s="44">
        <f>VLOOKUP(D653,[1]apoio_Preços_MGS!$A$6:$AN$238,40,FALSE)</f>
        <v>548.94000000000005</v>
      </c>
      <c r="AP653" s="44">
        <f>IF(J653="demais municípios",VLOOKUP(D653,[1]apoio_Preços_MGS!$A$6:$AN$238,40,FALSE),0)</f>
        <v>548.94000000000005</v>
      </c>
      <c r="AQ653" s="44">
        <v>0</v>
      </c>
      <c r="AR653" s="45">
        <f t="shared" si="330"/>
        <v>5489.4000000000005</v>
      </c>
      <c r="AS653" s="45">
        <f t="shared" si="333"/>
        <v>7307.5818181818195</v>
      </c>
      <c r="AT653" s="45">
        <f t="shared" si="335"/>
        <v>438454.90909090918</v>
      </c>
      <c r="AU653" s="62"/>
      <c r="AV653" s="46"/>
      <c r="AW653" s="47"/>
      <c r="AX653" s="48"/>
      <c r="AY653" s="49"/>
      <c r="BA653" s="48"/>
    </row>
    <row r="654" spans="1:53" ht="19.5" customHeight="1" x14ac:dyDescent="0.25">
      <c r="A654" s="33" t="str">
        <f t="shared" si="331"/>
        <v>63517400,05</v>
      </c>
      <c r="B654" s="33" t="str">
        <f t="shared" si="332"/>
        <v>1530,05</v>
      </c>
      <c r="C654" s="34" t="str">
        <f>VLOOKUP(D654,[1]apoio_Preços_MGS!$A$6:$B$238,2,FALSE)</f>
        <v>TÉCNICO ESPECIALIZADO</v>
      </c>
      <c r="D654" s="35">
        <v>153</v>
      </c>
      <c r="E654" s="33" t="str">
        <f>VLOOKUP(D654,[1]apoio_Preços_MGS!$A$6:$F$238,6,FALSE)</f>
        <v>TÉCNICO ESPECIALIZADO - DIARISTA DIURNO - 40H</v>
      </c>
      <c r="F654" s="36">
        <f>IFERROR(VLOOKUP(D654,'[1]apoio_cód catmas'!$B$2:$C$863,2,FALSE),0)</f>
        <v>63517</v>
      </c>
      <c r="G654" s="33" t="str">
        <f>IF(H654="N/A",VLOOKUP(F654&amp;40,'[1]apoio_cód catmas'!$A$1:$G$233,4,FALSE),VLOOKUP(F654&amp;H654,'[1]apoio_cód catmas'!$A$1:$G$233,4,FALSE))</f>
        <v>TECNICO ESPECIALIZADO - 40H OU 44H</v>
      </c>
      <c r="H654" s="36">
        <v>40</v>
      </c>
      <c r="I654" s="37">
        <v>0.05</v>
      </c>
      <c r="J654" s="38" t="s">
        <v>46</v>
      </c>
      <c r="K654" s="39">
        <v>3</v>
      </c>
      <c r="L654" s="39">
        <f>K654*56</f>
        <v>168</v>
      </c>
      <c r="M654" s="40">
        <f>VLOOKUP(D654,[1]apoio_Preços_MGS!$A$6:$AN$238,18,FALSE)</f>
        <v>3469.7606282833212</v>
      </c>
      <c r="N654" s="40">
        <f>VLOOKUP(D654,[1]apoio_Preços_MGS!$A$6:$AN$238,19,FALSE)</f>
        <v>0</v>
      </c>
      <c r="O654" s="40">
        <f>VLOOKUP(D654,[1]apoio_Preços_MGS!$A$6:$AN$238,20,FALSE)</f>
        <v>0</v>
      </c>
      <c r="P654" s="40">
        <f>VLOOKUP(D654,[1]apoio_Preços_MGS!$A$6:$AN$238,21,FALSE)</f>
        <v>0</v>
      </c>
      <c r="Q654" s="40">
        <f>VLOOKUP(D654,[1]apoio_Preços_MGS!$A$6:$AN$238,22,FALSE)</f>
        <v>0</v>
      </c>
      <c r="R654" s="40">
        <f>VLOOKUP(D654,[1]apoio_Preços_MGS!$A$6:$AN$238,23,FALSE)</f>
        <v>0</v>
      </c>
      <c r="S654" s="40">
        <f>VLOOKUP(D654,[1]apoio_Preços_MGS!$A$6:$AN$238,24,FALSE)</f>
        <v>0</v>
      </c>
      <c r="T654" s="40">
        <f>VLOOKUP(D654,[1]apoio_Preços_MGS!$A$6:$AN$238,25,FALSE)</f>
        <v>0</v>
      </c>
      <c r="U654" s="40">
        <f t="shared" si="301"/>
        <v>3469.7606282833212</v>
      </c>
      <c r="V654" s="41">
        <f>VLOOKUP(D654,[1]apoio_Preços_MGS!$A$6:$AN$238,27,FALSE)</f>
        <v>0.81799999999999995</v>
      </c>
      <c r="W654" s="40">
        <f t="shared" si="302"/>
        <v>2838.2641939357568</v>
      </c>
      <c r="X654" s="40">
        <f>VLOOKUP(D654,[1]apoio_Preços_MGS!$A$6:$AN$238,29,FALSE)</f>
        <v>25.948381261595543</v>
      </c>
      <c r="Y654" s="40">
        <f>VLOOKUP(D654,[1]apoio_Preços_MGS!$A$6:$AN$238,30,FALSE)</f>
        <v>3.1227443667443668</v>
      </c>
      <c r="Z654" s="40">
        <f t="shared" si="312"/>
        <v>29.07112562833991</v>
      </c>
      <c r="AA654" s="40">
        <f>VLOOKUP(D654,[1]apoio_Preços_MGS!$A$6:$AN$238,32,FALSE)</f>
        <v>6.6619404063039758</v>
      </c>
      <c r="AB654" s="40">
        <f>VLOOKUP(D654,[1]apoio_Preços_MGS!$A$6:$AN$238,33,FALSE)</f>
        <v>112.86165955473119</v>
      </c>
      <c r="AC654" s="41">
        <f>VLOOKUP(D654,[1]apoio_Preços_MGS!$A$6:$AN$238,34,FALSE)</f>
        <v>0</v>
      </c>
      <c r="AD654" s="40">
        <f>(U654+W654+Z654+AB654+AA654+VLOOKUP(C654,[1]apoio_Prec_Folha!$A:$S,7,FALSE))*AC654</f>
        <v>0</v>
      </c>
      <c r="AE654" s="42">
        <f>VLOOKUP(D654,[1]apoio_Preços_MGS!$A$6:$AN$238,36,FALSE)</f>
        <v>7.0000000000000007E-2</v>
      </c>
      <c r="AF654" s="40">
        <f>(U654+W654+Z654+AB654+AD654+AA654+VLOOKUP(C654,[1]apoio_Prec_Folha!$A:$S,7,FALSE))*AE654</f>
        <v>490.38958620373467</v>
      </c>
      <c r="AG654" s="40">
        <f t="shared" si="313"/>
        <v>6947</v>
      </c>
      <c r="AH654" s="43">
        <f t="shared" si="314"/>
        <v>8101.45</v>
      </c>
      <c r="AI654" s="43">
        <f t="shared" si="315"/>
        <v>24304.35</v>
      </c>
      <c r="AJ654" s="43">
        <f t="shared" si="316"/>
        <v>1361043.5999999999</v>
      </c>
      <c r="AK654" s="44">
        <f>VLOOKUP(D654,[1]apoio_Preços_MGS!$A$6:$AN$238,39,FALSE)</f>
        <v>181.81818181818184</v>
      </c>
      <c r="AL654" s="44">
        <f>IF(J654="demais municípios",VLOOKUP(D654,[1]apoio_Preços_MGS!$A$6:$AN$238,39,FALSE),0)</f>
        <v>181.81818181818184</v>
      </c>
      <c r="AM654" s="44">
        <v>0</v>
      </c>
      <c r="AN654" s="45">
        <f t="shared" si="329"/>
        <v>545.4545454545455</v>
      </c>
      <c r="AO654" s="44">
        <f>VLOOKUP(D654,[1]apoio_Preços_MGS!$A$6:$AN$238,40,FALSE)</f>
        <v>548.94000000000005</v>
      </c>
      <c r="AP654" s="44">
        <f>IF(J654="demais municípios",VLOOKUP(D654,[1]apoio_Preços_MGS!$A$6:$AN$238,40,FALSE),0)</f>
        <v>548.94000000000005</v>
      </c>
      <c r="AQ654" s="44">
        <v>0</v>
      </c>
      <c r="AR654" s="45">
        <f t="shared" si="330"/>
        <v>1646.8200000000002</v>
      </c>
      <c r="AS654" s="45">
        <f t="shared" si="333"/>
        <v>2192.2745454545457</v>
      </c>
      <c r="AT654" s="45">
        <f t="shared" si="335"/>
        <v>131536.47272727275</v>
      </c>
      <c r="AU654" s="62"/>
      <c r="AV654" s="46"/>
      <c r="AW654" s="47"/>
      <c r="AX654" s="48"/>
      <c r="AY654" s="49"/>
      <c r="BA654" s="48"/>
    </row>
    <row r="655" spans="1:53" ht="19.5" customHeight="1" x14ac:dyDescent="0.25">
      <c r="A655" s="33" t="str">
        <f t="shared" si="331"/>
        <v>63517400,05</v>
      </c>
      <c r="B655" s="33" t="str">
        <f t="shared" si="332"/>
        <v>1530,05</v>
      </c>
      <c r="C655" s="34" t="str">
        <f>VLOOKUP(D655,[1]apoio_Preços_MGS!$A$6:$B$238,2,FALSE)</f>
        <v>TÉCNICO ESPECIALIZADO</v>
      </c>
      <c r="D655" s="35">
        <v>153</v>
      </c>
      <c r="E655" s="33" t="str">
        <f>VLOOKUP(D655,[1]apoio_Preços_MGS!$A$6:$F$238,6,FALSE)</f>
        <v>TÉCNICO ESPECIALIZADO - DIARISTA DIURNO - 40H</v>
      </c>
      <c r="F655" s="36">
        <f>IFERROR(VLOOKUP(D655,'[1]apoio_cód catmas'!$B$2:$C$863,2,FALSE),0)</f>
        <v>63517</v>
      </c>
      <c r="G655" s="33" t="str">
        <f>IF(H655="N/A",VLOOKUP(F655&amp;40,'[1]apoio_cód catmas'!$A$1:$G$233,4,FALSE),VLOOKUP(F655&amp;H655,'[1]apoio_cód catmas'!$A$1:$G$233,4,FALSE))</f>
        <v>TECNICO ESPECIALIZADO - 40H OU 44H</v>
      </c>
      <c r="H655" s="36">
        <v>40</v>
      </c>
      <c r="I655" s="37">
        <v>0.05</v>
      </c>
      <c r="J655" s="38" t="s">
        <v>46</v>
      </c>
      <c r="K655" s="39">
        <f>205-K656-1</f>
        <v>18</v>
      </c>
      <c r="L655" s="39">
        <f t="shared" si="334"/>
        <v>1080</v>
      </c>
      <c r="M655" s="40">
        <f>VLOOKUP(D655,[1]apoio_Preços_MGS!$A$6:$AN$238,18,FALSE)</f>
        <v>3469.7606282833212</v>
      </c>
      <c r="N655" s="40">
        <f>VLOOKUP(D655,[1]apoio_Preços_MGS!$A$6:$AN$238,19,FALSE)</f>
        <v>0</v>
      </c>
      <c r="O655" s="40">
        <f>VLOOKUP(D655,[1]apoio_Preços_MGS!$A$6:$AN$238,20,FALSE)</f>
        <v>0</v>
      </c>
      <c r="P655" s="40">
        <f>VLOOKUP(D655,[1]apoio_Preços_MGS!$A$6:$AN$238,21,FALSE)</f>
        <v>0</v>
      </c>
      <c r="Q655" s="40">
        <f>VLOOKUP(D655,[1]apoio_Preços_MGS!$A$6:$AN$238,22,FALSE)</f>
        <v>0</v>
      </c>
      <c r="R655" s="40">
        <f>VLOOKUP(D655,[1]apoio_Preços_MGS!$A$6:$AN$238,23,FALSE)</f>
        <v>0</v>
      </c>
      <c r="S655" s="40">
        <f>VLOOKUP(D655,[1]apoio_Preços_MGS!$A$6:$AN$238,24,FALSE)</f>
        <v>0</v>
      </c>
      <c r="T655" s="40">
        <f>VLOOKUP(D655,[1]apoio_Preços_MGS!$A$6:$AN$238,25,FALSE)</f>
        <v>0</v>
      </c>
      <c r="U655" s="40">
        <f t="shared" si="301"/>
        <v>3469.7606282833212</v>
      </c>
      <c r="V655" s="41">
        <f>VLOOKUP(D655,[1]apoio_Preços_MGS!$A$6:$AN$238,27,FALSE)</f>
        <v>0.81799999999999995</v>
      </c>
      <c r="W655" s="40">
        <f t="shared" si="302"/>
        <v>2838.2641939357568</v>
      </c>
      <c r="X655" s="40">
        <f>VLOOKUP(D655,[1]apoio_Preços_MGS!$A$6:$AN$238,29,FALSE)</f>
        <v>25.948381261595543</v>
      </c>
      <c r="Y655" s="40">
        <f>VLOOKUP(D655,[1]apoio_Preços_MGS!$A$6:$AN$238,30,FALSE)</f>
        <v>3.1227443667443668</v>
      </c>
      <c r="Z655" s="40">
        <f t="shared" si="312"/>
        <v>29.07112562833991</v>
      </c>
      <c r="AA655" s="40">
        <f>VLOOKUP(D655,[1]apoio_Preços_MGS!$A$6:$AN$238,32,FALSE)</f>
        <v>6.6619404063039758</v>
      </c>
      <c r="AB655" s="40">
        <f>VLOOKUP(D655,[1]apoio_Preços_MGS!$A$6:$AN$238,33,FALSE)</f>
        <v>112.86165955473119</v>
      </c>
      <c r="AC655" s="41">
        <f>VLOOKUP(D655,[1]apoio_Preços_MGS!$A$6:$AN$238,34,FALSE)</f>
        <v>0</v>
      </c>
      <c r="AD655" s="40">
        <f>(U655+W655+Z655+AB655+AA655+VLOOKUP(C655,[1]apoio_Prec_Folha!$A:$S,7,FALSE))*AC655</f>
        <v>0</v>
      </c>
      <c r="AE655" s="42">
        <f>VLOOKUP(D655,[1]apoio_Preços_MGS!$A$6:$AN$238,36,FALSE)</f>
        <v>7.0000000000000007E-2</v>
      </c>
      <c r="AF655" s="40">
        <f>(U655+W655+Z655+AB655+AD655+AA655+VLOOKUP(C655,[1]apoio_Prec_Folha!$A:$S,7,FALSE))*AE655</f>
        <v>490.38958620373467</v>
      </c>
      <c r="AG655" s="40">
        <f t="shared" si="313"/>
        <v>6947</v>
      </c>
      <c r="AH655" s="43">
        <f t="shared" si="314"/>
        <v>8101.45</v>
      </c>
      <c r="AI655" s="43">
        <f t="shared" si="315"/>
        <v>145826.1</v>
      </c>
      <c r="AJ655" s="43">
        <f t="shared" si="316"/>
        <v>8749566</v>
      </c>
      <c r="AK655" s="44">
        <f>VLOOKUP(D655,[1]apoio_Preços_MGS!$A$6:$AN$238,39,FALSE)</f>
        <v>181.81818181818184</v>
      </c>
      <c r="AL655" s="44">
        <f>IF(J655="demais municípios",VLOOKUP(D655,[1]apoio_Preços_MGS!$A$6:$AN$238,39,FALSE),0)</f>
        <v>181.81818181818184</v>
      </c>
      <c r="AM655" s="44">
        <v>0</v>
      </c>
      <c r="AN655" s="45">
        <f t="shared" si="329"/>
        <v>3272.727272727273</v>
      </c>
      <c r="AO655" s="44">
        <f>VLOOKUP(D655,[1]apoio_Preços_MGS!$A$6:$AN$238,40,FALSE)</f>
        <v>548.94000000000005</v>
      </c>
      <c r="AP655" s="44">
        <f>IF(J655="demais municípios",VLOOKUP(D655,[1]apoio_Preços_MGS!$A$6:$AN$238,40,FALSE),0)</f>
        <v>548.94000000000005</v>
      </c>
      <c r="AQ655" s="44">
        <v>0</v>
      </c>
      <c r="AR655" s="45">
        <f t="shared" si="330"/>
        <v>9880.9200000000019</v>
      </c>
      <c r="AS655" s="45">
        <f t="shared" si="333"/>
        <v>13153.647272727274</v>
      </c>
      <c r="AT655" s="45">
        <f t="shared" si="335"/>
        <v>789218.83636363642</v>
      </c>
      <c r="AU655" s="62"/>
      <c r="AV655" s="46"/>
      <c r="AW655" s="47"/>
      <c r="AX655" s="48"/>
      <c r="AY655" s="49"/>
      <c r="BA655" s="48"/>
    </row>
    <row r="656" spans="1:53" ht="19.5" customHeight="1" x14ac:dyDescent="0.25">
      <c r="A656" s="33" t="str">
        <f t="shared" si="331"/>
        <v>63517400,05</v>
      </c>
      <c r="B656" s="33" t="str">
        <f t="shared" si="332"/>
        <v>1530,05</v>
      </c>
      <c r="C656" s="34" t="str">
        <f>VLOOKUP(D656,[1]apoio_Preços_MGS!$A$6:$B$238,2,FALSE)</f>
        <v>TÉCNICO ESPECIALIZADO</v>
      </c>
      <c r="D656" s="35">
        <v>153</v>
      </c>
      <c r="E656" s="33" t="str">
        <f>VLOOKUP(D656,[1]apoio_Preços_MGS!$A$6:$F$238,6,FALSE)</f>
        <v>TÉCNICO ESPECIALIZADO - DIARISTA DIURNO - 40H</v>
      </c>
      <c r="F656" s="36">
        <f>IFERROR(VLOOKUP(D656,'[1]apoio_cód catmas'!$B$2:$C$863,2,FALSE),0)</f>
        <v>63517</v>
      </c>
      <c r="G656" s="33" t="str">
        <f>IF(H656="N/A",VLOOKUP(F656&amp;40,'[1]apoio_cód catmas'!$A$1:$G$233,4,FALSE),VLOOKUP(F656&amp;H656,'[1]apoio_cód catmas'!$A$1:$G$233,4,FALSE))</f>
        <v>TECNICO ESPECIALIZADO - 40H OU 44H</v>
      </c>
      <c r="H656" s="36">
        <v>40</v>
      </c>
      <c r="I656" s="37">
        <v>0.05</v>
      </c>
      <c r="J656" s="38" t="s">
        <v>47</v>
      </c>
      <c r="K656" s="39">
        <v>186</v>
      </c>
      <c r="L656" s="39">
        <f t="shared" si="334"/>
        <v>11160</v>
      </c>
      <c r="M656" s="40">
        <f>VLOOKUP(D656,[1]apoio_Preços_MGS!$A$6:$AN$238,18,FALSE)</f>
        <v>3469.7606282833212</v>
      </c>
      <c r="N656" s="40">
        <f>VLOOKUP(D656,[1]apoio_Preços_MGS!$A$6:$AN$238,19,FALSE)</f>
        <v>0</v>
      </c>
      <c r="O656" s="40">
        <f>VLOOKUP(D656,[1]apoio_Preços_MGS!$A$6:$AN$238,20,FALSE)</f>
        <v>0</v>
      </c>
      <c r="P656" s="40">
        <f>VLOOKUP(D656,[1]apoio_Preços_MGS!$A$6:$AN$238,21,FALSE)</f>
        <v>0</v>
      </c>
      <c r="Q656" s="40">
        <f>VLOOKUP(D656,[1]apoio_Preços_MGS!$A$6:$AN$238,22,FALSE)</f>
        <v>0</v>
      </c>
      <c r="R656" s="40">
        <f>VLOOKUP(D656,[1]apoio_Preços_MGS!$A$6:$AN$238,23,FALSE)</f>
        <v>0</v>
      </c>
      <c r="S656" s="40">
        <f>VLOOKUP(D656,[1]apoio_Preços_MGS!$A$6:$AN$238,24,FALSE)</f>
        <v>0</v>
      </c>
      <c r="T656" s="40">
        <f>VLOOKUP(D656,[1]apoio_Preços_MGS!$A$6:$AN$238,25,FALSE)</f>
        <v>0</v>
      </c>
      <c r="U656" s="40">
        <f t="shared" si="301"/>
        <v>3469.7606282833212</v>
      </c>
      <c r="V656" s="41">
        <f>VLOOKUP(D656,[1]apoio_Preços_MGS!$A$6:$AN$238,27,FALSE)</f>
        <v>0.81799999999999995</v>
      </c>
      <c r="W656" s="40">
        <f t="shared" si="302"/>
        <v>2838.2641939357568</v>
      </c>
      <c r="X656" s="40">
        <f>VLOOKUP(D656,[1]apoio_Preços_MGS!$A$6:$AN$238,29,FALSE)</f>
        <v>25.948381261595543</v>
      </c>
      <c r="Y656" s="40">
        <f>VLOOKUP(D656,[1]apoio_Preços_MGS!$A$6:$AN$238,30,FALSE)</f>
        <v>3.1227443667443668</v>
      </c>
      <c r="Z656" s="40">
        <f t="shared" si="312"/>
        <v>29.07112562833991</v>
      </c>
      <c r="AA656" s="40">
        <f>VLOOKUP(D656,[1]apoio_Preços_MGS!$A$6:$AN$238,32,FALSE)</f>
        <v>6.6619404063039758</v>
      </c>
      <c r="AB656" s="40">
        <f>VLOOKUP(D656,[1]apoio_Preços_MGS!$A$6:$AN$238,33,FALSE)</f>
        <v>112.86165955473119</v>
      </c>
      <c r="AC656" s="41">
        <f>VLOOKUP(D656,[1]apoio_Preços_MGS!$A$6:$AN$238,34,FALSE)</f>
        <v>0</v>
      </c>
      <c r="AD656" s="40">
        <f>(U656+W656+Z656+AB656+AA656+VLOOKUP(C656,[1]apoio_Prec_Folha!$A:$S,7,FALSE))*AC656</f>
        <v>0</v>
      </c>
      <c r="AE656" s="42">
        <f>VLOOKUP(D656,[1]apoio_Preços_MGS!$A$6:$AN$238,36,FALSE)</f>
        <v>7.0000000000000007E-2</v>
      </c>
      <c r="AF656" s="40">
        <f>(U656+W656+Z656+AB656+AD656+AA656+VLOOKUP(C656,[1]apoio_Prec_Folha!$A:$S,7,FALSE))*AE656</f>
        <v>490.38958620373467</v>
      </c>
      <c r="AG656" s="40">
        <f t="shared" si="313"/>
        <v>6947</v>
      </c>
      <c r="AH656" s="43">
        <f t="shared" si="314"/>
        <v>8101.45</v>
      </c>
      <c r="AI656" s="43">
        <f t="shared" si="315"/>
        <v>1506869.7</v>
      </c>
      <c r="AJ656" s="43">
        <f t="shared" si="316"/>
        <v>90412182</v>
      </c>
      <c r="AK656" s="44">
        <f>VLOOKUP(D656,[1]apoio_Preços_MGS!$A$6:$AN$238,39,FALSE)</f>
        <v>181.81818181818184</v>
      </c>
      <c r="AL656" s="44">
        <f>IF(J656="demais municípios",VLOOKUP(D656,[1]apoio_Preços_MGS!$A$6:$AN$238,39,FALSE),0)</f>
        <v>0</v>
      </c>
      <c r="AM656" s="44">
        <f>TRUNC(ROUND(($I656)/(1-($I656)),5)*VLOOKUP(D656,[1]apoio_Preços_MGS!$A$6:$AN$238,39,FALSE)+VLOOKUP(D656,[1]apoio_Preços_MGS!$A$6:$AN$238,39,FALSE),2)</f>
        <v>191.38</v>
      </c>
      <c r="AN656" s="45">
        <f t="shared" ref="AN656:AN709" si="336">AM656*K656</f>
        <v>35596.68</v>
      </c>
      <c r="AO656" s="44">
        <f>VLOOKUP(D656,[1]apoio_Preços_MGS!$A$6:$AN$238,40,FALSE)</f>
        <v>548.94000000000005</v>
      </c>
      <c r="AP656" s="44">
        <f>IF(J656="demais municípios",VLOOKUP(D656,[1]apoio_Preços_MGS!$A$6:$AN$238,40,FALSE),0)</f>
        <v>0</v>
      </c>
      <c r="AQ656" s="44">
        <f>TRUNC(ROUND(($I656)/(1-($I656)),5)*VLOOKUP(D656,[1]apoio_Preços_MGS!$A$6:$AN$238,40,FALSE)+VLOOKUP(D656,[1]apoio_Preços_MGS!$A$6:$AN$238,40,FALSE),2)</f>
        <v>577.83000000000004</v>
      </c>
      <c r="AR656" s="45">
        <f t="shared" ref="AR656:AR709" si="337">AQ656*K656</f>
        <v>107476.38</v>
      </c>
      <c r="AS656" s="45">
        <f t="shared" si="333"/>
        <v>143073.06</v>
      </c>
      <c r="AT656" s="45">
        <f t="shared" si="335"/>
        <v>8584383.5999999996</v>
      </c>
      <c r="AU656" s="62"/>
      <c r="AV656" s="46"/>
      <c r="AW656" s="47"/>
      <c r="AX656" s="48"/>
      <c r="AY656" s="49"/>
      <c r="BA656" s="48"/>
    </row>
    <row r="657" spans="1:53" ht="19.5" customHeight="1" x14ac:dyDescent="0.25">
      <c r="A657" s="33" t="str">
        <f t="shared" si="331"/>
        <v>63517440,05</v>
      </c>
      <c r="B657" s="33" t="str">
        <f t="shared" si="332"/>
        <v>1520,05</v>
      </c>
      <c r="C657" s="34" t="str">
        <f>VLOOKUP(D657,[1]apoio_Preços_MGS!$A$6:$B$238,2,FALSE)</f>
        <v>TÉCNICO ESPECIALIZADO</v>
      </c>
      <c r="D657" s="35">
        <v>152</v>
      </c>
      <c r="E657" s="33" t="str">
        <f>VLOOKUP(D657,[1]apoio_Preços_MGS!$A$6:$F$238,6,FALSE)</f>
        <v>TÉCNICO ESPECIALIZADO - DIARISTA DIURNO - 44H</v>
      </c>
      <c r="F657" s="36">
        <f>IFERROR(VLOOKUP(D657,'[1]apoio_cód catmas'!$B$2:$C$863,2,FALSE),0)</f>
        <v>63517</v>
      </c>
      <c r="G657" s="33" t="str">
        <f>IF(H657="N/A",VLOOKUP(F657&amp;40,'[1]apoio_cód catmas'!$A$1:$G$233,4,FALSE),VLOOKUP(F657&amp;H657,'[1]apoio_cód catmas'!$A$1:$G$233,4,FALSE))</f>
        <v>TECNICO ESPECIALIZADO - 40H OU 44H</v>
      </c>
      <c r="H657" s="36">
        <v>44</v>
      </c>
      <c r="I657" s="37">
        <v>0.05</v>
      </c>
      <c r="J657" s="38" t="s">
        <v>47</v>
      </c>
      <c r="K657" s="39">
        <v>13</v>
      </c>
      <c r="L657" s="39">
        <f t="shared" si="334"/>
        <v>780</v>
      </c>
      <c r="M657" s="40">
        <f>VLOOKUP(D657,[1]apoio_Preços_MGS!$A$6:$AN$238,18,FALSE)</f>
        <v>3816.7366911116533</v>
      </c>
      <c r="N657" s="40">
        <f>VLOOKUP(D657,[1]apoio_Preços_MGS!$A$6:$AN$238,19,FALSE)</f>
        <v>0</v>
      </c>
      <c r="O657" s="40">
        <f>VLOOKUP(D657,[1]apoio_Preços_MGS!$A$6:$AN$238,20,FALSE)</f>
        <v>0</v>
      </c>
      <c r="P657" s="40">
        <f>VLOOKUP(D657,[1]apoio_Preços_MGS!$A$6:$AN$238,21,FALSE)</f>
        <v>0</v>
      </c>
      <c r="Q657" s="40">
        <f>VLOOKUP(D657,[1]apoio_Preços_MGS!$A$6:$AN$238,22,FALSE)</f>
        <v>0</v>
      </c>
      <c r="R657" s="40">
        <f>VLOOKUP(D657,[1]apoio_Preços_MGS!$A$6:$AN$238,23,FALSE)</f>
        <v>0</v>
      </c>
      <c r="S657" s="40">
        <f>VLOOKUP(D657,[1]apoio_Preços_MGS!$A$6:$AN$238,24,FALSE)</f>
        <v>0</v>
      </c>
      <c r="T657" s="40">
        <f>VLOOKUP(D657,[1]apoio_Preços_MGS!$A$6:$AN$238,25,FALSE)</f>
        <v>0</v>
      </c>
      <c r="U657" s="40">
        <f t="shared" si="301"/>
        <v>3816.7366911116533</v>
      </c>
      <c r="V657" s="41">
        <v>0.81799999999999995</v>
      </c>
      <c r="W657" s="40">
        <f t="shared" si="302"/>
        <v>3122.090613329332</v>
      </c>
      <c r="X657" s="40">
        <f>VLOOKUP(D657,[1]apoio_Preços_MGS!$A$6:$AN$238,29,FALSE)</f>
        <v>25.948381261595543</v>
      </c>
      <c r="Y657" s="40">
        <f>VLOOKUP(D657,[1]apoio_Preços_MGS!$A$6:$AN$238,30,FALSE)</f>
        <v>3.1227443667443668</v>
      </c>
      <c r="Z657" s="40">
        <f t="shared" si="312"/>
        <v>29.07112562833991</v>
      </c>
      <c r="AA657" s="40">
        <f>VLOOKUP(D657,[1]apoio_Preços_MGS!$A$6:$AN$238,32,FALSE)</f>
        <v>7.3281344469343734</v>
      </c>
      <c r="AB657" s="40">
        <f>VLOOKUP(D657,[1]apoio_Preços_MGS!$A$6:$AN$238,33,FALSE)</f>
        <v>103.42749081632675</v>
      </c>
      <c r="AC657" s="41">
        <f>VLOOKUP(D657,[1]apoio_Preços_MGS!$A$6:$AN$238,34,FALSE)</f>
        <v>0</v>
      </c>
      <c r="AD657" s="40">
        <f>(U657+W657+Z657+AB657+AA657+VLOOKUP(C657,[1]apoio_Prec_Folha!$A:$S,7,FALSE))*AC657</f>
        <v>0</v>
      </c>
      <c r="AE657" s="42">
        <f>VLOOKUP(D657,[1]apoio_Preços_MGS!$A$6:$AN$238,36,FALSE)</f>
        <v>7.0000000000000007E-2</v>
      </c>
      <c r="AF657" s="40">
        <f>(U657+W657+Z657+AB657+AD657+AA657+VLOOKUP(C657,[1]apoio_Prec_Folha!$A:$S,7,FALSE))*AE657</f>
        <v>533.93200173042396</v>
      </c>
      <c r="AG657" s="40">
        <f t="shared" si="313"/>
        <v>7612.58</v>
      </c>
      <c r="AH657" s="43">
        <f t="shared" si="314"/>
        <v>8877.6299999999992</v>
      </c>
      <c r="AI657" s="43">
        <f t="shared" si="315"/>
        <v>115409.18999999999</v>
      </c>
      <c r="AJ657" s="43">
        <f t="shared" si="316"/>
        <v>6924551.3999999994</v>
      </c>
      <c r="AK657" s="44">
        <f>VLOOKUP(D657,[1]apoio_Preços_MGS!$A$6:$AN$238,39,FALSE)</f>
        <v>200.00000000000003</v>
      </c>
      <c r="AL657" s="44">
        <f>IF(J657="demais municípios",VLOOKUP(D657,[1]apoio_Preços_MGS!$A$6:$AN$238,39,FALSE),0)</f>
        <v>0</v>
      </c>
      <c r="AM657" s="44">
        <f>TRUNC(ROUND(($I657)/(1-($I657)),5)*VLOOKUP(D657,[1]apoio_Preços_MGS!$A$6:$AN$238,39,FALSE)+VLOOKUP(D657,[1]apoio_Preços_MGS!$A$6:$AN$238,39,FALSE),2)</f>
        <v>210.52</v>
      </c>
      <c r="AN657" s="45">
        <f t="shared" si="336"/>
        <v>2736.76</v>
      </c>
      <c r="AO657" s="44">
        <f>VLOOKUP(D657,[1]apoio_Preços_MGS!$A$6:$AN$238,40,FALSE)</f>
        <v>548.94000000000005</v>
      </c>
      <c r="AP657" s="44">
        <f>IF(J657="demais municípios",VLOOKUP(D657,[1]apoio_Preços_MGS!$A$6:$AN$238,40,FALSE),0)</f>
        <v>0</v>
      </c>
      <c r="AQ657" s="44">
        <f>TRUNC(ROUND(($I657)/(1-($I657)),5)*VLOOKUP(D657,[1]apoio_Preços_MGS!$A$6:$AN$238,40,FALSE)+VLOOKUP(D657,[1]apoio_Preços_MGS!$A$6:$AN$238,40,FALSE),2)</f>
        <v>577.83000000000004</v>
      </c>
      <c r="AR657" s="45">
        <f t="shared" si="337"/>
        <v>7511.7900000000009</v>
      </c>
      <c r="AS657" s="45">
        <f t="shared" si="333"/>
        <v>10248.550000000001</v>
      </c>
      <c r="AT657" s="45">
        <f t="shared" si="335"/>
        <v>614913.00000000012</v>
      </c>
      <c r="AU657" s="62"/>
      <c r="AV657" s="46"/>
      <c r="AW657" s="47"/>
      <c r="AX657" s="48"/>
      <c r="AY657" s="49"/>
      <c r="BA657" s="48"/>
    </row>
    <row r="658" spans="1:53" ht="19.5" customHeight="1" x14ac:dyDescent="0.25">
      <c r="A658" s="33" t="str">
        <f t="shared" si="331"/>
        <v>64289400,03</v>
      </c>
      <c r="B658" s="33" t="str">
        <f t="shared" si="332"/>
        <v>1590,03</v>
      </c>
      <c r="C658" s="34" t="str">
        <f>VLOOKUP(D658,[1]apoio_Preços_MGS!$A$6:$B$238,2,FALSE)</f>
        <v>TÉCNICO ESPECIALIZADO</v>
      </c>
      <c r="D658" s="35">
        <v>159</v>
      </c>
      <c r="E658" s="33" t="str">
        <f>VLOOKUP(D658,[1]apoio_Preços_MGS!$A$6:$F$238,6,FALSE)</f>
        <v>TÉCNICO ESPECIALIZADO - (PERIC.) - DIARISTA DIURNO - 40H</v>
      </c>
      <c r="F658" s="36">
        <f>IFERROR(VLOOKUP(D658,'[1]apoio_cód catmas'!$B$2:$C$863,2,FALSE),0)</f>
        <v>64289</v>
      </c>
      <c r="G658" s="33" t="str">
        <f>IF(H658="N/A",VLOOKUP(F658&amp;40,'[1]apoio_cód catmas'!$A$1:$G$233,4,FALSE),VLOOKUP(F658&amp;H658,'[1]apoio_cód catmas'!$A$1:$G$233,4,FALSE))</f>
        <v>TECNICO ESPECIALIZADO (PERICULOSIDADE) - 40H</v>
      </c>
      <c r="H658" s="36">
        <v>40</v>
      </c>
      <c r="I658" s="37">
        <v>0.03</v>
      </c>
      <c r="J658" s="38" t="s">
        <v>46</v>
      </c>
      <c r="K658" s="39">
        <v>2</v>
      </c>
      <c r="L658" s="39">
        <f t="shared" si="334"/>
        <v>120</v>
      </c>
      <c r="M658" s="40">
        <f>VLOOKUP(D658,[1]apoio_Preços_MGS!$A$6:$AN$238,18,FALSE)</f>
        <v>3469.7606282833212</v>
      </c>
      <c r="N658" s="40">
        <f>VLOOKUP(D658,[1]apoio_Preços_MGS!$A$6:$AN$238,19,FALSE)</f>
        <v>1040.9281884849963</v>
      </c>
      <c r="O658" s="40">
        <f>VLOOKUP(D658,[1]apoio_Preços_MGS!$A$6:$AN$238,20,FALSE)</f>
        <v>0</v>
      </c>
      <c r="P658" s="40">
        <f>VLOOKUP(D658,[1]apoio_Preços_MGS!$A$6:$AN$238,21,FALSE)</f>
        <v>0</v>
      </c>
      <c r="Q658" s="40">
        <f>VLOOKUP(D658,[1]apoio_Preços_MGS!$A$6:$AN$238,22,FALSE)</f>
        <v>0</v>
      </c>
      <c r="R658" s="40">
        <f>VLOOKUP(D658,[1]apoio_Preços_MGS!$A$6:$AN$238,23,FALSE)</f>
        <v>0</v>
      </c>
      <c r="S658" s="40">
        <f>VLOOKUP(D658,[1]apoio_Preços_MGS!$A$6:$AN$238,24,FALSE)</f>
        <v>0</v>
      </c>
      <c r="T658" s="40">
        <f>VLOOKUP(D658,[1]apoio_Preços_MGS!$A$6:$AN$238,25,FALSE)</f>
        <v>0</v>
      </c>
      <c r="U658" s="40">
        <f t="shared" si="301"/>
        <v>4510.6888167683173</v>
      </c>
      <c r="V658" s="41">
        <v>0.81799999999999995</v>
      </c>
      <c r="W658" s="40">
        <f t="shared" si="302"/>
        <v>3689.7434521164832</v>
      </c>
      <c r="X658" s="40">
        <f>VLOOKUP(D658,[1]apoio_Preços_MGS!$A$6:$AN$238,29,FALSE)</f>
        <v>25.948381261595543</v>
      </c>
      <c r="Y658" s="40">
        <f>VLOOKUP(D658,[1]apoio_Preços_MGS!$A$6:$AN$238,30,FALSE)</f>
        <v>3.1227443667443668</v>
      </c>
      <c r="Z658" s="40">
        <f t="shared" si="312"/>
        <v>29.07112562833991</v>
      </c>
      <c r="AA658" s="40">
        <f>VLOOKUP(D658,[1]apoio_Preços_MGS!$A$6:$AN$238,32,FALSE)</f>
        <v>6.6619404063039758</v>
      </c>
      <c r="AB658" s="40">
        <f>VLOOKUP(D658,[1]apoio_Preços_MGS!$A$6:$AN$238,33,FALSE)</f>
        <v>112.86165955473119</v>
      </c>
      <c r="AC658" s="41">
        <f>VLOOKUP(D658,[1]apoio_Preços_MGS!$A$6:$AN$238,34,FALSE)</f>
        <v>0</v>
      </c>
      <c r="AD658" s="40">
        <f>(U658+W658+Z658+AB658+AA658+VLOOKUP(C658,[1]apoio_Prec_Folha!$A:$S,7,FALSE))*AC658</f>
        <v>0</v>
      </c>
      <c r="AE658" s="42">
        <f>VLOOKUP(D658,[1]apoio_Preços_MGS!$A$6:$AN$238,36,FALSE)</f>
        <v>7.0000000000000007E-2</v>
      </c>
      <c r="AF658" s="40">
        <f>(U658+W658+Z658+AB658+AD658+AA658+VLOOKUP(C658,[1]apoio_Prec_Folha!$A:$S,7,FALSE))*AE658</f>
        <v>622.85810747033531</v>
      </c>
      <c r="AG658" s="40">
        <f t="shared" si="313"/>
        <v>8971.8799999999992</v>
      </c>
      <c r="AH658" s="43">
        <f t="shared" si="314"/>
        <v>10224.35</v>
      </c>
      <c r="AI658" s="43">
        <f t="shared" si="315"/>
        <v>20448.7</v>
      </c>
      <c r="AJ658" s="43">
        <f t="shared" si="316"/>
        <v>1226922</v>
      </c>
      <c r="AK658" s="44">
        <f>VLOOKUP(D658,[1]apoio_Preços_MGS!$A$6:$AN$238,39,FALSE)</f>
        <v>181.81818181818184</v>
      </c>
      <c r="AL658" s="44">
        <f>IF(J658="demais municípios",VLOOKUP(D658,[1]apoio_Preços_MGS!$A$6:$AN$238,39,FALSE),0)</f>
        <v>181.81818181818184</v>
      </c>
      <c r="AM658" s="44">
        <v>0</v>
      </c>
      <c r="AN658" s="45">
        <f t="shared" ref="AN658:AN659" si="338">AK658*K658</f>
        <v>363.63636363636368</v>
      </c>
      <c r="AO658" s="44">
        <f>VLOOKUP(D658,[1]apoio_Preços_MGS!$A$6:$AN$238,40,FALSE)</f>
        <v>548.94000000000005</v>
      </c>
      <c r="AP658" s="44">
        <f>IF(J658="demais municípios",VLOOKUP(D658,[1]apoio_Preços_MGS!$A$6:$AN$238,40,FALSE),0)</f>
        <v>548.94000000000005</v>
      </c>
      <c r="AQ658" s="44">
        <v>0</v>
      </c>
      <c r="AR658" s="45">
        <f t="shared" ref="AR658:AR659" si="339">AO658*K658</f>
        <v>1097.8800000000001</v>
      </c>
      <c r="AS658" s="45">
        <f t="shared" si="333"/>
        <v>1461.5163636363638</v>
      </c>
      <c r="AT658" s="45">
        <f t="shared" si="335"/>
        <v>87690.981818181826</v>
      </c>
      <c r="AU658" s="62"/>
      <c r="AV658" s="46"/>
      <c r="AW658" s="47"/>
      <c r="AX658" s="48"/>
      <c r="AY658" s="49"/>
      <c r="BA658" s="48"/>
    </row>
    <row r="659" spans="1:53" ht="19.5" customHeight="1" x14ac:dyDescent="0.25">
      <c r="A659" s="33" t="str">
        <f t="shared" si="331"/>
        <v>64289400,04</v>
      </c>
      <c r="B659" s="33" t="str">
        <f t="shared" si="332"/>
        <v>1590,04</v>
      </c>
      <c r="C659" s="34" t="str">
        <f>VLOOKUP(D659,[1]apoio_Preços_MGS!$A$6:$B$238,2,FALSE)</f>
        <v>TÉCNICO ESPECIALIZADO</v>
      </c>
      <c r="D659" s="35">
        <v>159</v>
      </c>
      <c r="E659" s="33" t="str">
        <f>VLOOKUP(D659,[1]apoio_Preços_MGS!$A$6:$F$238,6,FALSE)</f>
        <v>TÉCNICO ESPECIALIZADO - (PERIC.) - DIARISTA DIURNO - 40H</v>
      </c>
      <c r="F659" s="36">
        <f>IFERROR(VLOOKUP(D659,'[1]apoio_cód catmas'!$B$2:$C$863,2,FALSE),0)</f>
        <v>64289</v>
      </c>
      <c r="G659" s="33" t="str">
        <f>IF(H659="N/A",VLOOKUP(F659&amp;40,'[1]apoio_cód catmas'!$A$1:$G$233,4,FALSE),VLOOKUP(F659&amp;H659,'[1]apoio_cód catmas'!$A$1:$G$233,4,FALSE))</f>
        <v>TECNICO ESPECIALIZADO (PERICULOSIDADE) - 40H</v>
      </c>
      <c r="H659" s="36">
        <v>40</v>
      </c>
      <c r="I659" s="37">
        <v>0.04</v>
      </c>
      <c r="J659" s="38" t="s">
        <v>46</v>
      </c>
      <c r="K659" s="39">
        <v>1</v>
      </c>
      <c r="L659" s="39">
        <f t="shared" si="334"/>
        <v>60</v>
      </c>
      <c r="M659" s="40">
        <f>VLOOKUP(D659,[1]apoio_Preços_MGS!$A$6:$AN$238,18,FALSE)</f>
        <v>3469.7606282833212</v>
      </c>
      <c r="N659" s="40">
        <f>VLOOKUP(D659,[1]apoio_Preços_MGS!$A$6:$AN$238,19,FALSE)</f>
        <v>1040.9281884849963</v>
      </c>
      <c r="O659" s="40">
        <f>VLOOKUP(D659,[1]apoio_Preços_MGS!$A$6:$AN$238,20,FALSE)</f>
        <v>0</v>
      </c>
      <c r="P659" s="40">
        <f>VLOOKUP(D659,[1]apoio_Preços_MGS!$A$6:$AN$238,21,FALSE)</f>
        <v>0</v>
      </c>
      <c r="Q659" s="40">
        <f>VLOOKUP(D659,[1]apoio_Preços_MGS!$A$6:$AN$238,22,FALSE)</f>
        <v>0</v>
      </c>
      <c r="R659" s="40">
        <f>VLOOKUP(D659,[1]apoio_Preços_MGS!$A$6:$AN$238,23,FALSE)</f>
        <v>0</v>
      </c>
      <c r="S659" s="40">
        <f>VLOOKUP(D659,[1]apoio_Preços_MGS!$A$6:$AN$238,24,FALSE)</f>
        <v>0</v>
      </c>
      <c r="T659" s="40">
        <f>VLOOKUP(D659,[1]apoio_Preços_MGS!$A$6:$AN$238,25,FALSE)</f>
        <v>0</v>
      </c>
      <c r="U659" s="40">
        <f t="shared" si="301"/>
        <v>4510.6888167683173</v>
      </c>
      <c r="V659" s="41">
        <f>VLOOKUP(D659,[1]apoio_Preços_MGS!$A$6:$AN$238,27,FALSE)</f>
        <v>0.81799999999999995</v>
      </c>
      <c r="W659" s="40">
        <f t="shared" si="302"/>
        <v>3689.7434521164832</v>
      </c>
      <c r="X659" s="40">
        <f>VLOOKUP(D659,[1]apoio_Preços_MGS!$A$6:$AN$238,29,FALSE)</f>
        <v>25.948381261595543</v>
      </c>
      <c r="Y659" s="40">
        <f>VLOOKUP(D659,[1]apoio_Preços_MGS!$A$6:$AN$238,30,FALSE)</f>
        <v>3.1227443667443668</v>
      </c>
      <c r="Z659" s="40">
        <f t="shared" si="312"/>
        <v>29.07112562833991</v>
      </c>
      <c r="AA659" s="40">
        <f>VLOOKUP(D659,[1]apoio_Preços_MGS!$A$6:$AN$238,32,FALSE)</f>
        <v>6.6619404063039758</v>
      </c>
      <c r="AB659" s="40">
        <f>VLOOKUP(D659,[1]apoio_Preços_MGS!$A$6:$AN$238,33,FALSE)</f>
        <v>112.86165955473119</v>
      </c>
      <c r="AC659" s="41">
        <f>VLOOKUP(D659,[1]apoio_Preços_MGS!$A$6:$AN$238,34,FALSE)</f>
        <v>0</v>
      </c>
      <c r="AD659" s="40">
        <f>(U659+W659+Z659+AB659+AA659+VLOOKUP(C659,[1]apoio_Prec_Folha!$A:$S,7,FALSE))*AC659</f>
        <v>0</v>
      </c>
      <c r="AE659" s="42">
        <f>VLOOKUP(D659,[1]apoio_Preços_MGS!$A$6:$AN$238,36,FALSE)</f>
        <v>7.0000000000000007E-2</v>
      </c>
      <c r="AF659" s="40">
        <f>(U659+W659+Z659+AB659+AD659+AA659+VLOOKUP(C659,[1]apoio_Prec_Folha!$A:$S,7,FALSE))*AE659</f>
        <v>622.85810747033531</v>
      </c>
      <c r="AG659" s="40">
        <f t="shared" si="313"/>
        <v>8971.8799999999992</v>
      </c>
      <c r="AH659" s="43">
        <f t="shared" si="314"/>
        <v>10342.24</v>
      </c>
      <c r="AI659" s="43">
        <f t="shared" si="315"/>
        <v>10342.24</v>
      </c>
      <c r="AJ659" s="43">
        <f t="shared" si="316"/>
        <v>620534.4</v>
      </c>
      <c r="AK659" s="44">
        <f>VLOOKUP(D659,[1]apoio_Preços_MGS!$A$6:$AN$238,39,FALSE)</f>
        <v>181.81818181818184</v>
      </c>
      <c r="AL659" s="44">
        <f>IF(J659="demais municípios",VLOOKUP(D659,[1]apoio_Preços_MGS!$A$6:$AN$238,39,FALSE),0)</f>
        <v>181.81818181818184</v>
      </c>
      <c r="AM659" s="44">
        <v>0</v>
      </c>
      <c r="AN659" s="45">
        <f t="shared" si="338"/>
        <v>181.81818181818184</v>
      </c>
      <c r="AO659" s="44">
        <f>VLOOKUP(D659,[1]apoio_Preços_MGS!$A$6:$AN$238,40,FALSE)</f>
        <v>548.94000000000005</v>
      </c>
      <c r="AP659" s="44">
        <f>IF(J659="demais municípios",VLOOKUP(D659,[1]apoio_Preços_MGS!$A$6:$AN$238,40,FALSE),0)</f>
        <v>548.94000000000005</v>
      </c>
      <c r="AQ659" s="44">
        <v>0</v>
      </c>
      <c r="AR659" s="45">
        <f t="shared" si="339"/>
        <v>548.94000000000005</v>
      </c>
      <c r="AS659" s="45">
        <f t="shared" si="333"/>
        <v>730.75818181818192</v>
      </c>
      <c r="AT659" s="45">
        <f t="shared" si="335"/>
        <v>43845.490909090913</v>
      </c>
      <c r="AU659" s="62"/>
      <c r="AV659" s="46"/>
      <c r="AW659" s="47"/>
      <c r="AX659" s="48"/>
      <c r="AY659" s="49"/>
      <c r="BA659" s="48"/>
    </row>
    <row r="660" spans="1:53" ht="19.5" customHeight="1" x14ac:dyDescent="0.25">
      <c r="A660" s="33" t="str">
        <f t="shared" si="331"/>
        <v>64289400,05</v>
      </c>
      <c r="B660" s="33" t="str">
        <f t="shared" si="332"/>
        <v>1590,05</v>
      </c>
      <c r="C660" s="34" t="str">
        <f>VLOOKUP(D660,[1]apoio_Preços_MGS!$A$6:$B$238,2,FALSE)</f>
        <v>TÉCNICO ESPECIALIZADO</v>
      </c>
      <c r="D660" s="35">
        <v>159</v>
      </c>
      <c r="E660" s="33" t="str">
        <f>VLOOKUP(D660,[1]apoio_Preços_MGS!$A$6:$F$238,6,FALSE)</f>
        <v>TÉCNICO ESPECIALIZADO - (PERIC.) - DIARISTA DIURNO - 40H</v>
      </c>
      <c r="F660" s="36">
        <f>IFERROR(VLOOKUP(D660,'[1]apoio_cód catmas'!$B$2:$C$863,2,FALSE),0)</f>
        <v>64289</v>
      </c>
      <c r="G660" s="33" t="str">
        <f>IF(H660="N/A",VLOOKUP(F660&amp;40,'[1]apoio_cód catmas'!$A$1:$G$233,4,FALSE),VLOOKUP(F660&amp;H660,'[1]apoio_cód catmas'!$A$1:$G$233,4,FALSE))</f>
        <v>TECNICO ESPECIALIZADO (PERICULOSIDADE) - 40H</v>
      </c>
      <c r="H660" s="36">
        <v>40</v>
      </c>
      <c r="I660" s="37">
        <v>0.05</v>
      </c>
      <c r="J660" s="38" t="s">
        <v>47</v>
      </c>
      <c r="K660" s="39">
        <v>5</v>
      </c>
      <c r="L660" s="39">
        <f t="shared" si="334"/>
        <v>300</v>
      </c>
      <c r="M660" s="40">
        <f>VLOOKUP(D660,[1]apoio_Preços_MGS!$A$6:$AN$238,18,FALSE)</f>
        <v>3469.7606282833212</v>
      </c>
      <c r="N660" s="40">
        <f>VLOOKUP(D660,[1]apoio_Preços_MGS!$A$6:$AN$238,19,FALSE)</f>
        <v>1040.9281884849963</v>
      </c>
      <c r="O660" s="40">
        <f>VLOOKUP(D660,[1]apoio_Preços_MGS!$A$6:$AN$238,20,FALSE)</f>
        <v>0</v>
      </c>
      <c r="P660" s="40">
        <f>VLOOKUP(D660,[1]apoio_Preços_MGS!$A$6:$AN$238,21,FALSE)</f>
        <v>0</v>
      </c>
      <c r="Q660" s="40">
        <f>VLOOKUP(D660,[1]apoio_Preços_MGS!$A$6:$AN$238,22,FALSE)</f>
        <v>0</v>
      </c>
      <c r="R660" s="40">
        <f>VLOOKUP(D660,[1]apoio_Preços_MGS!$A$6:$AN$238,23,FALSE)</f>
        <v>0</v>
      </c>
      <c r="S660" s="40">
        <f>VLOOKUP(D660,[1]apoio_Preços_MGS!$A$6:$AN$238,24,FALSE)</f>
        <v>0</v>
      </c>
      <c r="T660" s="40">
        <f>VLOOKUP(D660,[1]apoio_Preços_MGS!$A$6:$AN$238,25,FALSE)</f>
        <v>0</v>
      </c>
      <c r="U660" s="40">
        <f t="shared" si="301"/>
        <v>4510.6888167683173</v>
      </c>
      <c r="V660" s="41">
        <f>VLOOKUP(D660,[1]apoio_Preços_MGS!$A$6:$AN$238,27,FALSE)</f>
        <v>0.81799999999999995</v>
      </c>
      <c r="W660" s="40">
        <f t="shared" si="302"/>
        <v>3689.7434521164832</v>
      </c>
      <c r="X660" s="40">
        <f>VLOOKUP(D660,[1]apoio_Preços_MGS!$A$6:$AN$238,29,FALSE)</f>
        <v>25.948381261595543</v>
      </c>
      <c r="Y660" s="40">
        <f>VLOOKUP(D660,[1]apoio_Preços_MGS!$A$6:$AN$238,30,FALSE)</f>
        <v>3.1227443667443668</v>
      </c>
      <c r="Z660" s="40">
        <f t="shared" si="312"/>
        <v>29.07112562833991</v>
      </c>
      <c r="AA660" s="40">
        <f>VLOOKUP(D660,[1]apoio_Preços_MGS!$A$6:$AN$238,32,FALSE)</f>
        <v>6.6619404063039758</v>
      </c>
      <c r="AB660" s="40">
        <f>VLOOKUP(D660,[1]apoio_Preços_MGS!$A$6:$AN$238,33,FALSE)</f>
        <v>112.86165955473119</v>
      </c>
      <c r="AC660" s="41">
        <f>VLOOKUP(D660,[1]apoio_Preços_MGS!$A$6:$AN$238,34,FALSE)</f>
        <v>0</v>
      </c>
      <c r="AD660" s="40">
        <f>(U660+W660+Z660+AB660+AA660+VLOOKUP(C660,[1]apoio_Prec_Folha!$A:$S,7,FALSE))*AC660</f>
        <v>0</v>
      </c>
      <c r="AE660" s="42">
        <f>VLOOKUP(D660,[1]apoio_Preços_MGS!$A$6:$AN$238,36,FALSE)</f>
        <v>7.0000000000000007E-2</v>
      </c>
      <c r="AF660" s="40">
        <f>(U660+W660+Z660+AB660+AD660+AA660+VLOOKUP(C660,[1]apoio_Prec_Folha!$A:$S,7,FALSE))*AE660</f>
        <v>622.85810747033531</v>
      </c>
      <c r="AG660" s="40">
        <f t="shared" si="313"/>
        <v>8971.8799999999992</v>
      </c>
      <c r="AH660" s="43">
        <f t="shared" si="314"/>
        <v>10462.82</v>
      </c>
      <c r="AI660" s="43">
        <f t="shared" si="315"/>
        <v>52314.1</v>
      </c>
      <c r="AJ660" s="43">
        <f t="shared" si="316"/>
        <v>3138846</v>
      </c>
      <c r="AK660" s="44">
        <f>VLOOKUP(D660,[1]apoio_Preços_MGS!$A$6:$AN$238,39,FALSE)</f>
        <v>181.81818181818184</v>
      </c>
      <c r="AL660" s="44">
        <f>IF(J660="demais municípios",VLOOKUP(D660,[1]apoio_Preços_MGS!$A$6:$AN$238,39,FALSE),0)</f>
        <v>0</v>
      </c>
      <c r="AM660" s="44">
        <f>TRUNC(ROUND(($I660)/(1-($I660)),5)*VLOOKUP(D660,[1]apoio_Preços_MGS!$A$6:$AN$238,39,FALSE)+VLOOKUP(D660,[1]apoio_Preços_MGS!$A$6:$AN$238,39,FALSE),2)</f>
        <v>191.38</v>
      </c>
      <c r="AN660" s="45">
        <f t="shared" si="336"/>
        <v>956.9</v>
      </c>
      <c r="AO660" s="44">
        <f>VLOOKUP(D660,[1]apoio_Preços_MGS!$A$6:$AN$238,40,FALSE)</f>
        <v>548.94000000000005</v>
      </c>
      <c r="AP660" s="44">
        <f>IF(J660="demais municípios",VLOOKUP(D660,[1]apoio_Preços_MGS!$A$6:$AN$238,40,FALSE),0)</f>
        <v>0</v>
      </c>
      <c r="AQ660" s="44">
        <f>TRUNC(ROUND(($I660)/(1-($I660)),5)*VLOOKUP(D660,[1]apoio_Preços_MGS!$A$6:$AN$238,40,FALSE)+VLOOKUP(D660,[1]apoio_Preços_MGS!$A$6:$AN$238,40,FALSE),2)</f>
        <v>577.83000000000004</v>
      </c>
      <c r="AR660" s="45">
        <f t="shared" si="337"/>
        <v>2889.15</v>
      </c>
      <c r="AS660" s="45">
        <f t="shared" si="333"/>
        <v>3846.05</v>
      </c>
      <c r="AT660" s="45">
        <f t="shared" si="335"/>
        <v>230763</v>
      </c>
      <c r="AU660" s="62"/>
      <c r="AV660" s="46"/>
      <c r="AW660" s="47"/>
      <c r="AX660" s="48"/>
      <c r="AY660" s="49"/>
      <c r="BA660" s="48"/>
    </row>
    <row r="661" spans="1:53" ht="19.5" customHeight="1" x14ac:dyDescent="0.25">
      <c r="A661" s="33" t="str">
        <f t="shared" si="331"/>
        <v>149241400,038</v>
      </c>
      <c r="B661" s="33" t="str">
        <f t="shared" si="332"/>
        <v>19080,038</v>
      </c>
      <c r="C661" s="34" t="str">
        <f>VLOOKUP(D661,[1]apoio_Preços_MGS!$A$6:$B$238,2,FALSE)</f>
        <v>TÉCNICO FABRIL</v>
      </c>
      <c r="D661" s="35">
        <v>1908</v>
      </c>
      <c r="E661" s="33" t="str">
        <f>VLOOKUP(D661,[1]apoio_Preços_MGS!$A$6:$F$238,6,FALSE)</f>
        <v>TÉCNICO FABRIL - DIARISTA DIURNO - 40H</v>
      </c>
      <c r="F661" s="36">
        <f>IFERROR(VLOOKUP(D661,'[1]apoio_cód catmas'!$B$2:$C$863,2,FALSE),0)</f>
        <v>149241</v>
      </c>
      <c r="G661" s="33" t="str">
        <f>IF(H661="N/A",VLOOKUP(F661&amp;40,'[1]apoio_cód catmas'!$A$1:$G$233,4,FALSE),VLOOKUP(F661&amp;H661,'[1]apoio_cód catmas'!$A$1:$G$233,4,FALSE))</f>
        <v>TECNICO FABRIL - 20H, 22H, 30H, 36H, 40H OU 44H</v>
      </c>
      <c r="H661" s="36">
        <v>40</v>
      </c>
      <c r="I661" s="37">
        <v>3.7999999999999999E-2</v>
      </c>
      <c r="J661" s="38" t="s">
        <v>46</v>
      </c>
      <c r="K661" s="39">
        <v>2</v>
      </c>
      <c r="L661" s="39">
        <f t="shared" si="334"/>
        <v>120</v>
      </c>
      <c r="M661" s="40">
        <f>VLOOKUP(D661,[1]apoio_Preços_MGS!$A$6:$AN$238,18,FALSE)</f>
        <v>3242.4902499999994</v>
      </c>
      <c r="N661" s="40">
        <f>VLOOKUP(D661,[1]apoio_Preços_MGS!$A$6:$AN$238,19,FALSE)</f>
        <v>0</v>
      </c>
      <c r="O661" s="40">
        <f>VLOOKUP(D661,[1]apoio_Preços_MGS!$A$6:$AN$238,20,FALSE)</f>
        <v>0</v>
      </c>
      <c r="P661" s="40">
        <f>VLOOKUP(D661,[1]apoio_Preços_MGS!$A$6:$AN$238,21,FALSE)</f>
        <v>0</v>
      </c>
      <c r="Q661" s="40">
        <f>VLOOKUP(D661,[1]apoio_Preços_MGS!$A$6:$AN$238,22,FALSE)</f>
        <v>0</v>
      </c>
      <c r="R661" s="40">
        <f>VLOOKUP(D661,[1]apoio_Preços_MGS!$A$6:$AN$238,23,FALSE)</f>
        <v>0</v>
      </c>
      <c r="S661" s="40">
        <f>VLOOKUP(D661,[1]apoio_Preços_MGS!$A$6:$AN$238,24,FALSE)</f>
        <v>0</v>
      </c>
      <c r="T661" s="40">
        <f>VLOOKUP(D661,[1]apoio_Preços_MGS!$A$6:$AN$238,25,FALSE)</f>
        <v>0</v>
      </c>
      <c r="U661" s="40">
        <f>SUM(M661:T661)</f>
        <v>3242.4902499999994</v>
      </c>
      <c r="V661" s="41">
        <f>VLOOKUP(D661,[1]apoio_Preços_MGS!$A$6:$AN$238,27,FALSE)</f>
        <v>0.81799999999999995</v>
      </c>
      <c r="W661" s="40">
        <f>U661*V661</f>
        <v>2652.3570244999992</v>
      </c>
      <c r="X661" s="40">
        <f>VLOOKUP(D661,[1]apoio_Preços_MGS!$A$6:$AN$238,29,FALSE)</f>
        <v>0</v>
      </c>
      <c r="Y661" s="40">
        <f>VLOOKUP(D661,[1]apoio_Preços_MGS!$A$6:$AN$238,30,FALSE)</f>
        <v>51.92618181818181</v>
      </c>
      <c r="Z661" s="40">
        <f>Y661+X661</f>
        <v>51.92618181818181</v>
      </c>
      <c r="AA661" s="40">
        <f>VLOOKUP(D661,[1]apoio_Preços_MGS!$A$6:$AN$238,32,FALSE)</f>
        <v>6.2255812799999983</v>
      </c>
      <c r="AB661" s="40">
        <f>VLOOKUP(D661,[1]apoio_Preços_MGS!$A$6:$AN$238,33,FALSE)</f>
        <v>355.45454545454544</v>
      </c>
      <c r="AC661" s="41">
        <f>VLOOKUP(D661,[1]apoio_Preços_MGS!$A$6:$AN$238,34,FALSE)</f>
        <v>0</v>
      </c>
      <c r="AD661" s="40">
        <f>(U661+W661+Z661+AB661+AA661+VLOOKUP(C661,[1]apoio_Prec_Folha!$A:$S,7,FALSE))*AC661</f>
        <v>0</v>
      </c>
      <c r="AE661" s="42">
        <f>VLOOKUP(D661,[1]apoio_Preços_MGS!$A$6:$AN$238,36,FALSE)</f>
        <v>7.0000000000000007E-2</v>
      </c>
      <c r="AF661" s="40">
        <f>(U661+W661+Z661+AB661+AD661+AA661+VLOOKUP(C661,[1]apoio_Prec_Folha!$A:$S,7,FALSE))*AE661</f>
        <v>480.20235081369083</v>
      </c>
      <c r="AG661" s="40">
        <f>TRUNC(U661+W661+Z661+AB661+AA661+AD661+AF661,2)</f>
        <v>6788.65</v>
      </c>
      <c r="AH661" s="43">
        <f>TRUNC($AG661*ROUND((7.6%+1.65%+$I661)/(1-(7.6%+1.65%+$I661)),5)+$AG661,2)</f>
        <v>7807.55</v>
      </c>
      <c r="AI661" s="43">
        <f>AH661*K661</f>
        <v>15615.1</v>
      </c>
      <c r="AJ661" s="43">
        <f>AH661*L661</f>
        <v>936906</v>
      </c>
      <c r="AK661" s="44">
        <f>VLOOKUP(D661,[1]apoio_Preços_MGS!$A$6:$AN$238,39,FALSE)</f>
        <v>181.81818181818184</v>
      </c>
      <c r="AL661" s="44">
        <f>IF(J661="demais municípios",VLOOKUP(D661,[1]apoio_Preços_MGS!$A$6:$AN$238,39,FALSE),0)</f>
        <v>181.81818181818184</v>
      </c>
      <c r="AM661" s="44">
        <v>0</v>
      </c>
      <c r="AN661" s="45">
        <f>AK661*K661</f>
        <v>363.63636363636368</v>
      </c>
      <c r="AO661" s="44">
        <f>VLOOKUP(D661,[1]apoio_Preços_MGS!$A$6:$AN$238,40,FALSE)</f>
        <v>551.58000000000004</v>
      </c>
      <c r="AP661" s="44">
        <f>IF(J661="demais municípios",VLOOKUP(D661,[1]apoio_Preços_MGS!$A$6:$AN$238,40,FALSE),0)</f>
        <v>551.58000000000004</v>
      </c>
      <c r="AQ661" s="44">
        <v>0</v>
      </c>
      <c r="AR661" s="45">
        <f>AO661*K661</f>
        <v>1103.1600000000001</v>
      </c>
      <c r="AS661" s="45">
        <f t="shared" si="333"/>
        <v>1466.7963636363638</v>
      </c>
      <c r="AT661" s="45">
        <f t="shared" si="335"/>
        <v>88007.781818181829</v>
      </c>
      <c r="AU661" s="62"/>
      <c r="AV661" s="46"/>
      <c r="AW661" s="47"/>
      <c r="AX661" s="48"/>
      <c r="AY661" s="49"/>
      <c r="BA661" s="48"/>
    </row>
    <row r="662" spans="1:53" ht="19.5" customHeight="1" x14ac:dyDescent="0.25">
      <c r="A662" s="33" t="str">
        <f t="shared" si="331"/>
        <v>149241400,05</v>
      </c>
      <c r="B662" s="33" t="str">
        <f t="shared" si="332"/>
        <v>19080,05</v>
      </c>
      <c r="C662" s="34" t="str">
        <f>VLOOKUP(D662,[1]apoio_Preços_MGS!$A$6:$B$238,2,FALSE)</f>
        <v>TÉCNICO FABRIL</v>
      </c>
      <c r="D662" s="35">
        <v>1908</v>
      </c>
      <c r="E662" s="33" t="str">
        <f>VLOOKUP(D662,[1]apoio_Preços_MGS!$A$6:$F$238,6,FALSE)</f>
        <v>TÉCNICO FABRIL - DIARISTA DIURNO - 40H</v>
      </c>
      <c r="F662" s="36">
        <f>IFERROR(VLOOKUP(D662,'[1]apoio_cód catmas'!$B$2:$C$863,2,FALSE),0)</f>
        <v>149241</v>
      </c>
      <c r="G662" s="33" t="str">
        <f>IF(H662="N/A",VLOOKUP(F662&amp;40,'[1]apoio_cód catmas'!$A$1:$G$233,4,FALSE),VLOOKUP(F662&amp;H662,'[1]apoio_cód catmas'!$A$1:$G$233,4,FALSE))</f>
        <v>TECNICO FABRIL - 20H, 22H, 30H, 36H, 40H OU 44H</v>
      </c>
      <c r="H662" s="36">
        <v>40</v>
      </c>
      <c r="I662" s="37">
        <v>0.05</v>
      </c>
      <c r="J662" s="38" t="s">
        <v>47</v>
      </c>
      <c r="K662" s="39">
        <v>28</v>
      </c>
      <c r="L662" s="39">
        <f>K662*60</f>
        <v>1680</v>
      </c>
      <c r="M662" s="40">
        <f>VLOOKUP(D662,[1]apoio_Preços_MGS!$A$6:$AN$238,18,FALSE)</f>
        <v>3242.4902499999994</v>
      </c>
      <c r="N662" s="40">
        <f>VLOOKUP(D662,[1]apoio_Preços_MGS!$A$6:$AN$238,19,FALSE)</f>
        <v>0</v>
      </c>
      <c r="O662" s="40">
        <f>VLOOKUP(D662,[1]apoio_Preços_MGS!$A$6:$AN$238,20,FALSE)</f>
        <v>0</v>
      </c>
      <c r="P662" s="40">
        <f>VLOOKUP(D662,[1]apoio_Preços_MGS!$A$6:$AN$238,21,FALSE)</f>
        <v>0</v>
      </c>
      <c r="Q662" s="40">
        <f>VLOOKUP(D662,[1]apoio_Preços_MGS!$A$6:$AN$238,22,FALSE)</f>
        <v>0</v>
      </c>
      <c r="R662" s="40">
        <f>VLOOKUP(D662,[1]apoio_Preços_MGS!$A$6:$AN$238,23,FALSE)</f>
        <v>0</v>
      </c>
      <c r="S662" s="40">
        <f>VLOOKUP(D662,[1]apoio_Preços_MGS!$A$6:$AN$238,24,FALSE)</f>
        <v>0</v>
      </c>
      <c r="T662" s="40">
        <f>VLOOKUP(D662,[1]apoio_Preços_MGS!$A$6:$AN$238,25,FALSE)</f>
        <v>0</v>
      </c>
      <c r="U662" s="40">
        <f>SUM(M662:T662)</f>
        <v>3242.4902499999994</v>
      </c>
      <c r="V662" s="41">
        <f>VLOOKUP(D662,[1]apoio_Preços_MGS!$A$6:$AN$238,27,FALSE)</f>
        <v>0.81799999999999995</v>
      </c>
      <c r="W662" s="40">
        <f>U662*V662</f>
        <v>2652.3570244999992</v>
      </c>
      <c r="X662" s="40">
        <f>VLOOKUP(D662,[1]apoio_Preços_MGS!$A$6:$AN$238,29,FALSE)</f>
        <v>0</v>
      </c>
      <c r="Y662" s="40">
        <f>VLOOKUP(D662,[1]apoio_Preços_MGS!$A$6:$AN$238,30,FALSE)</f>
        <v>51.92618181818181</v>
      </c>
      <c r="Z662" s="40">
        <f>Y662+X662</f>
        <v>51.92618181818181</v>
      </c>
      <c r="AA662" s="40">
        <f>VLOOKUP(D662,[1]apoio_Preços_MGS!$A$6:$AN$238,32,FALSE)</f>
        <v>6.2255812799999983</v>
      </c>
      <c r="AB662" s="40">
        <f>VLOOKUP(D662,[1]apoio_Preços_MGS!$A$6:$AN$238,33,FALSE)</f>
        <v>355.45454545454544</v>
      </c>
      <c r="AC662" s="41">
        <f>VLOOKUP(D662,[1]apoio_Preços_MGS!$A$6:$AN$238,34,FALSE)</f>
        <v>0</v>
      </c>
      <c r="AD662" s="40">
        <f>(U662+W662+Z662+AB662+AA662+VLOOKUP(C662,[1]apoio_Prec_Folha!$A:$S,7,FALSE))*AC662</f>
        <v>0</v>
      </c>
      <c r="AE662" s="42">
        <f>VLOOKUP(D662,[1]apoio_Preços_MGS!$A$6:$AN$238,36,FALSE)</f>
        <v>7.0000000000000007E-2</v>
      </c>
      <c r="AF662" s="40">
        <f>(U662+W662+Z662+AB662+AD662+AA662+VLOOKUP(C662,[1]apoio_Prec_Folha!$A:$S,7,FALSE))*AE662</f>
        <v>480.20235081369083</v>
      </c>
      <c r="AG662" s="40">
        <f>TRUNC(U662+W662+Z662+AB662+AA662+AD662+AF662,2)</f>
        <v>6788.65</v>
      </c>
      <c r="AH662" s="43">
        <f>TRUNC($AG662*ROUND((7.6%+1.65%+$I662)/(1-(7.6%+1.65%+$I662)),5)+$AG662,2)</f>
        <v>7916.78</v>
      </c>
      <c r="AI662" s="43">
        <f>AH662*K662</f>
        <v>221669.84</v>
      </c>
      <c r="AJ662" s="43">
        <f>AH662*L662</f>
        <v>13300190.4</v>
      </c>
      <c r="AK662" s="44">
        <f>VLOOKUP(D662,[1]apoio_Preços_MGS!$A$6:$AN$238,39,FALSE)</f>
        <v>181.81818181818184</v>
      </c>
      <c r="AL662" s="44">
        <f>IF(J662="demais municípios",VLOOKUP(D662,[1]apoio_Preços_MGS!$A$6:$AN$238,39,FALSE),0)</f>
        <v>0</v>
      </c>
      <c r="AM662" s="44">
        <f>TRUNC(ROUND(($I662)/(1-($I662)),5)*VLOOKUP(D662,[1]apoio_Preços_MGS!$A$6:$AN$238,39,FALSE)+VLOOKUP(D662,[1]apoio_Preços_MGS!$A$6:$AN$238,39,FALSE),2)</f>
        <v>191.38</v>
      </c>
      <c r="AN662" s="45">
        <f t="shared" si="336"/>
        <v>5358.6399999999994</v>
      </c>
      <c r="AO662" s="44">
        <f>VLOOKUP(D662,[1]apoio_Preços_MGS!$A$6:$AN$238,40,FALSE)</f>
        <v>551.58000000000004</v>
      </c>
      <c r="AP662" s="44">
        <f>IF(J662="demais municípios",VLOOKUP(D662,[1]apoio_Preços_MGS!$A$6:$AN$238,40,FALSE),0)</f>
        <v>0</v>
      </c>
      <c r="AQ662" s="44">
        <f>TRUNC(ROUND(($I662)/(1-($I662)),5)*VLOOKUP(D662,[1]apoio_Preços_MGS!$A$6:$AN$238,40,FALSE)+VLOOKUP(D662,[1]apoio_Preços_MGS!$A$6:$AN$238,40,FALSE),2)</f>
        <v>580.6</v>
      </c>
      <c r="AR662" s="45">
        <f t="shared" si="337"/>
        <v>16256.800000000001</v>
      </c>
      <c r="AS662" s="45">
        <f t="shared" si="333"/>
        <v>21615.440000000002</v>
      </c>
      <c r="AT662" s="45">
        <f t="shared" si="335"/>
        <v>1296926.4000000001</v>
      </c>
      <c r="AU662" s="62"/>
      <c r="AV662" s="46"/>
      <c r="AW662" s="47"/>
      <c r="AX662" s="48"/>
      <c r="AY662" s="49"/>
      <c r="BA662" s="48"/>
    </row>
    <row r="663" spans="1:53" ht="19.5" customHeight="1" x14ac:dyDescent="0.25">
      <c r="A663" s="33" t="str">
        <f t="shared" si="331"/>
        <v>63487400,05</v>
      </c>
      <c r="B663" s="33" t="str">
        <f t="shared" si="332"/>
        <v>1420,05</v>
      </c>
      <c r="C663" s="34" t="str">
        <f>VLOOKUP(D663,[1]apoio_Preços_MGS!$A$6:$B$238,2,FALSE)</f>
        <v>TÉCNICO HIDROMETRISTA</v>
      </c>
      <c r="D663" s="35">
        <v>142</v>
      </c>
      <c r="E663" s="33" t="str">
        <f>VLOOKUP(D663,[1]apoio_Preços_MGS!$A$6:$F$238,6,FALSE)</f>
        <v>TÉCNICO HIDROMETRISTA - DIARISTA DIURNO - 40H</v>
      </c>
      <c r="F663" s="36">
        <f>IFERROR(VLOOKUP(D663,'[1]apoio_cód catmas'!$B$2:$C$863,2,FALSE),0)</f>
        <v>63487</v>
      </c>
      <c r="G663" s="33" t="str">
        <f>IF(H663="N/A",VLOOKUP(F663&amp;40,'[1]apoio_cód catmas'!$A$1:$G$233,4,FALSE),VLOOKUP(F663&amp;H663,'[1]apoio_cód catmas'!$A$1:$G$233,4,FALSE))</f>
        <v>TECNICO HIDROMETRISTA - 40H</v>
      </c>
      <c r="H663" s="36">
        <v>40</v>
      </c>
      <c r="I663" s="37">
        <v>0.05</v>
      </c>
      <c r="J663" s="38" t="s">
        <v>47</v>
      </c>
      <c r="K663" s="39">
        <v>6</v>
      </c>
      <c r="L663" s="39">
        <f t="shared" si="334"/>
        <v>360</v>
      </c>
      <c r="M663" s="40">
        <f>VLOOKUP(D663,[1]apoio_Preços_MGS!$A$6:$AN$238,18,FALSE)</f>
        <v>2770.4684999999999</v>
      </c>
      <c r="N663" s="40">
        <f>VLOOKUP(D663,[1]apoio_Preços_MGS!$A$6:$AN$238,19,FALSE)</f>
        <v>0</v>
      </c>
      <c r="O663" s="40">
        <f>VLOOKUP(D663,[1]apoio_Preços_MGS!$A$6:$AN$238,20,FALSE)</f>
        <v>0</v>
      </c>
      <c r="P663" s="40">
        <f>VLOOKUP(D663,[1]apoio_Preços_MGS!$A$6:$AN$238,21,FALSE)</f>
        <v>0</v>
      </c>
      <c r="Q663" s="40">
        <f>VLOOKUP(D663,[1]apoio_Preços_MGS!$A$6:$AN$238,22,FALSE)</f>
        <v>0</v>
      </c>
      <c r="R663" s="40">
        <f>VLOOKUP(D663,[1]apoio_Preços_MGS!$A$6:$AN$238,23,FALSE)</f>
        <v>0</v>
      </c>
      <c r="S663" s="40">
        <f>VLOOKUP(D663,[1]apoio_Preços_MGS!$A$6:$AN$238,24,FALSE)</f>
        <v>0</v>
      </c>
      <c r="T663" s="40">
        <f>VLOOKUP(D663,[1]apoio_Preços_MGS!$A$6:$AN$238,25,FALSE)</f>
        <v>0</v>
      </c>
      <c r="U663" s="40">
        <f t="shared" si="301"/>
        <v>2770.4684999999999</v>
      </c>
      <c r="V663" s="41">
        <v>0.81799999999999995</v>
      </c>
      <c r="W663" s="40">
        <f t="shared" si="302"/>
        <v>2266.2432329999997</v>
      </c>
      <c r="X663" s="40">
        <f>VLOOKUP(D663,[1]apoio_Preços_MGS!$A$6:$AN$238,29,FALSE)</f>
        <v>20.923636363636362</v>
      </c>
      <c r="Y663" s="40">
        <f>VLOOKUP(D663,[1]apoio_Preços_MGS!$A$6:$AN$238,30,FALSE)</f>
        <v>79.812727272727273</v>
      </c>
      <c r="Z663" s="40">
        <f t="shared" si="312"/>
        <v>100.73636363636363</v>
      </c>
      <c r="AA663" s="40">
        <f>VLOOKUP(D663,[1]apoio_Preços_MGS!$A$6:$AN$238,32,FALSE)</f>
        <v>5.3192995199999995</v>
      </c>
      <c r="AB663" s="40">
        <f>VLOOKUP(D663,[1]apoio_Preços_MGS!$A$6:$AN$238,33,FALSE)</f>
        <v>36.257575757575765</v>
      </c>
      <c r="AC663" s="41">
        <f>VLOOKUP(D663,[1]apoio_Preços_MGS!$A$6:$AN$238,34,FALSE)</f>
        <v>0</v>
      </c>
      <c r="AD663" s="40">
        <f>(U663+W663+Z663+AB663+AA663+VLOOKUP(C663,[1]apoio_Prec_Folha!$A:$S,7,FALSE))*AC663</f>
        <v>0</v>
      </c>
      <c r="AE663" s="42">
        <f>VLOOKUP(D663,[1]apoio_Preços_MGS!$A$6:$AN$238,36,FALSE)</f>
        <v>7.0000000000000007E-2</v>
      </c>
      <c r="AF663" s="40">
        <f>(U663+W663+Z663+AB663+AD663+AA663+VLOOKUP(C663,[1]apoio_Prec_Folha!$A:$S,7,FALSE))*AE663</f>
        <v>401.14234803397579</v>
      </c>
      <c r="AG663" s="40">
        <f t="shared" si="313"/>
        <v>5580.16</v>
      </c>
      <c r="AH663" s="43">
        <f t="shared" si="314"/>
        <v>6507.47</v>
      </c>
      <c r="AI663" s="43">
        <f t="shared" si="315"/>
        <v>39044.82</v>
      </c>
      <c r="AJ663" s="43">
        <f t="shared" si="316"/>
        <v>2342689.2000000002</v>
      </c>
      <c r="AK663" s="44">
        <f>VLOOKUP(D663,[1]apoio_Preços_MGS!$A$6:$AN$238,39,FALSE)</f>
        <v>181.81818181818184</v>
      </c>
      <c r="AL663" s="44">
        <f>IF(J663="demais municípios",VLOOKUP(D663,[1]apoio_Preços_MGS!$A$6:$AN$238,39,FALSE),0)</f>
        <v>0</v>
      </c>
      <c r="AM663" s="44">
        <f>TRUNC(ROUND(($I663)/(1-($I663)),5)*VLOOKUP(D663,[1]apoio_Preços_MGS!$A$6:$AN$238,39,FALSE)+VLOOKUP(D663,[1]apoio_Preços_MGS!$A$6:$AN$238,39,FALSE),2)</f>
        <v>191.38</v>
      </c>
      <c r="AN663" s="45">
        <f t="shared" si="336"/>
        <v>1148.28</v>
      </c>
      <c r="AO663" s="44">
        <f>VLOOKUP(D663,[1]apoio_Preços_MGS!$A$6:$AN$238,40,FALSE)</f>
        <v>551.58000000000004</v>
      </c>
      <c r="AP663" s="44">
        <f>IF(J663="demais municípios",VLOOKUP(D663,[1]apoio_Preços_MGS!$A$6:$AN$238,40,FALSE),0)</f>
        <v>0</v>
      </c>
      <c r="AQ663" s="44">
        <f>TRUNC(ROUND(($I663)/(1-($I663)),5)*VLOOKUP(D663,[1]apoio_Preços_MGS!$A$6:$AN$238,40,FALSE)+VLOOKUP(D663,[1]apoio_Preços_MGS!$A$6:$AN$238,40,FALSE),2)</f>
        <v>580.6</v>
      </c>
      <c r="AR663" s="45">
        <f t="shared" si="337"/>
        <v>3483.6000000000004</v>
      </c>
      <c r="AS663" s="45">
        <f t="shared" si="333"/>
        <v>4631.88</v>
      </c>
      <c r="AT663" s="45">
        <f t="shared" si="335"/>
        <v>277912.8</v>
      </c>
      <c r="AU663" s="62"/>
      <c r="AV663" s="46"/>
      <c r="AW663" s="47"/>
      <c r="AX663" s="48"/>
      <c r="AY663" s="49"/>
      <c r="BA663" s="48"/>
    </row>
    <row r="664" spans="1:53" ht="19.5" customHeight="1" x14ac:dyDescent="0.25">
      <c r="A664" s="33" t="str">
        <f t="shared" si="331"/>
        <v>106712360,05</v>
      </c>
      <c r="B664" s="33" t="str">
        <f t="shared" si="332"/>
        <v>3800,05</v>
      </c>
      <c r="C664" s="34" t="str">
        <f>VLOOKUP(D664,[1]apoio_Preços_MGS!$A$6:$B$238,2,FALSE)</f>
        <v>TELEDIGIFONISTA</v>
      </c>
      <c r="D664" s="35">
        <v>380</v>
      </c>
      <c r="E664" s="33" t="str">
        <f>VLOOKUP(D664,[1]apoio_Preços_MGS!$A$6:$F$238,6,FALSE)</f>
        <v>TELEDIGIFONISTA (EXCLUSIVO SEJUSP) (18H ÀS 0H) - ESCALA NOTURNA - 36H</v>
      </c>
      <c r="F664" s="36">
        <f>IFERROR(VLOOKUP(D664,'[1]apoio_cód catmas'!$B$2:$C$863,2,FALSE),0)</f>
        <v>106712</v>
      </c>
      <c r="G664" s="33" t="str">
        <f>IF(H664="N/A",VLOOKUP(F664&amp;40,'[1]apoio_cód catmas'!$A$1:$G$233,4,FALSE),VLOOKUP(F664&amp;H664,'[1]apoio_cód catmas'!$A$1:$G$233,4,FALSE))</f>
        <v>TELEDIGIFONISTA -  NOTURNO (18H AS 0H) - 36H,  SEM SUBSTITUICAO (EXCLUSIVO PARA SEJUSP)</v>
      </c>
      <c r="H664" s="36">
        <v>36</v>
      </c>
      <c r="I664" s="37">
        <v>0.05</v>
      </c>
      <c r="J664" s="38" t="s">
        <v>47</v>
      </c>
      <c r="K664" s="39">
        <v>107</v>
      </c>
      <c r="L664" s="39">
        <f t="shared" si="334"/>
        <v>6420</v>
      </c>
      <c r="M664" s="40">
        <f>VLOOKUP(D664,[1]apoio_Preços_MGS!$A$6:$AN$238,18,FALSE)</f>
        <v>2887.526593443788</v>
      </c>
      <c r="N664" s="40">
        <f>VLOOKUP(D664,[1]apoio_Preços_MGS!$A$6:$AN$238,19,FALSE)</f>
        <v>0</v>
      </c>
      <c r="O664" s="40">
        <f>VLOOKUP(D664,[1]apoio_Preços_MGS!$A$6:$AN$238,20,FALSE)</f>
        <v>383.03969317744509</v>
      </c>
      <c r="P664" s="40">
        <f>VLOOKUP(D664,[1]apoio_Preços_MGS!$A$6:$AN$238,21,FALSE)</f>
        <v>0</v>
      </c>
      <c r="Q664" s="40">
        <f>VLOOKUP(D664,[1]apoio_Preços_MGS!$A$6:$AN$238,22,FALSE)</f>
        <v>31.354372202154288</v>
      </c>
      <c r="R664" s="40">
        <f>VLOOKUP(D664,[1]apoio_Preços_MGS!$A$6:$AN$238,23,FALSE)</f>
        <v>0</v>
      </c>
      <c r="S664" s="40">
        <f>VLOOKUP(D664,[1]apoio_Preços_MGS!$A$6:$AN$238,24,FALSE)</f>
        <v>130.33974206517098</v>
      </c>
      <c r="T664" s="40">
        <f>VLOOKUP(D664,[1]apoio_Preços_MGS!$A$6:$AN$238,25,FALSE)</f>
        <v>0</v>
      </c>
      <c r="U664" s="40">
        <f t="shared" si="301"/>
        <v>3432.2604008885583</v>
      </c>
      <c r="V664" s="41">
        <v>0.81799999999999995</v>
      </c>
      <c r="W664" s="40">
        <f t="shared" si="302"/>
        <v>2807.5890079268406</v>
      </c>
      <c r="X664" s="40">
        <f>VLOOKUP(D664,[1]apoio_Preços_MGS!$A$6:$AN$238,29,FALSE)</f>
        <v>44.339166666666664</v>
      </c>
      <c r="Y664" s="40">
        <f>VLOOKUP(D664,[1]apoio_Preços_MGS!$A$6:$AN$238,30,FALSE)</f>
        <v>0</v>
      </c>
      <c r="Z664" s="40">
        <f t="shared" si="312"/>
        <v>44.339166666666664</v>
      </c>
      <c r="AA664" s="40">
        <f>VLOOKUP(D664,[1]apoio_Preços_MGS!$A$6:$AN$238,32,FALSE)</f>
        <v>5.5440510594120722</v>
      </c>
      <c r="AB664" s="40">
        <f>VLOOKUP(D664,[1]apoio_Preços_MGS!$A$6:$AN$238,33,FALSE)</f>
        <v>304.74493581346485</v>
      </c>
      <c r="AC664" s="41">
        <f>VLOOKUP(D664,[1]apoio_Preços_MGS!$A$6:$AN$238,34,FALSE)</f>
        <v>0</v>
      </c>
      <c r="AD664" s="40">
        <f>(U664+W664+Z664+AB664+AA664+VLOOKUP(C664,[1]apoio_Prec_Folha!$A:$S,7,FALSE))*AC664</f>
        <v>0</v>
      </c>
      <c r="AE664" s="42">
        <f>VLOOKUP(D664,[1]apoio_Preços_MGS!$A$6:$AN$238,36,FALSE)</f>
        <v>7.0000000000000007E-2</v>
      </c>
      <c r="AF664" s="40">
        <f>(U664+W664+Z664+AB664+AD664+AA664+VLOOKUP(C664,[1]apoio_Prec_Folha!$A:$S,7,FALSE))*AE664</f>
        <v>504.53322936484625</v>
      </c>
      <c r="AG664" s="40">
        <f t="shared" si="313"/>
        <v>7099.01</v>
      </c>
      <c r="AH664" s="43">
        <f t="shared" si="314"/>
        <v>8278.7199999999993</v>
      </c>
      <c r="AI664" s="43">
        <f t="shared" si="315"/>
        <v>885823.03999999992</v>
      </c>
      <c r="AJ664" s="43">
        <f t="shared" si="316"/>
        <v>53149382.399999999</v>
      </c>
      <c r="AK664" s="44">
        <f>VLOOKUP(D664,[1]apoio_Preços_MGS!$A$6:$AN$238,39,FALSE)</f>
        <v>163.63636363636365</v>
      </c>
      <c r="AL664" s="44">
        <f>IF(J664="demais municípios",VLOOKUP(D664,[1]apoio_Preços_MGS!$A$6:$AN$238,39,FALSE),0)</f>
        <v>0</v>
      </c>
      <c r="AM664" s="44">
        <v>0</v>
      </c>
      <c r="AN664" s="45">
        <f t="shared" si="336"/>
        <v>0</v>
      </c>
      <c r="AO664" s="44">
        <f>VLOOKUP(D664,[1]apoio_Preços_MGS!$A$6:$AN$238,40,FALSE)</f>
        <v>724.62</v>
      </c>
      <c r="AP664" s="44">
        <f>IF(J664="demais municípios",VLOOKUP(D664,[1]apoio_Preços_MGS!$A$6:$AN$238,40,FALSE),0)</f>
        <v>0</v>
      </c>
      <c r="AQ664" s="44">
        <f>TRUNC(ROUND(($I664)/(1-($I664)),5)*VLOOKUP(D664,[1]apoio_Preços_MGS!$A$6:$AN$238,40,FALSE)+VLOOKUP(D664,[1]apoio_Preços_MGS!$A$6:$AN$238,40,FALSE),2)</f>
        <v>762.75</v>
      </c>
      <c r="AR664" s="45">
        <f t="shared" si="337"/>
        <v>81614.25</v>
      </c>
      <c r="AS664" s="45">
        <f t="shared" si="333"/>
        <v>81614.25</v>
      </c>
      <c r="AT664" s="45">
        <f t="shared" si="335"/>
        <v>4896855</v>
      </c>
      <c r="AU664" s="62"/>
      <c r="AV664" s="46"/>
      <c r="AW664" s="47"/>
      <c r="AX664" s="48"/>
      <c r="AY664" s="49"/>
      <c r="BA664" s="48"/>
    </row>
    <row r="665" spans="1:53" ht="19.5" customHeight="1" x14ac:dyDescent="0.25">
      <c r="A665" s="33" t="str">
        <f t="shared" si="331"/>
        <v>63320300,05</v>
      </c>
      <c r="B665" s="33" t="str">
        <f t="shared" si="332"/>
        <v>440,05</v>
      </c>
      <c r="C665" s="34" t="str">
        <f>VLOOKUP(D665,[1]apoio_Preços_MGS!$A$6:$B$238,2,FALSE)</f>
        <v>TELEDIGIFONISTA</v>
      </c>
      <c r="D665" s="35">
        <v>44</v>
      </c>
      <c r="E665" s="33" t="str">
        <f>VLOOKUP(D665,[1]apoio_Preços_MGS!$A$6:$F$238,6,FALSE)</f>
        <v>TELEDIGIFONISTA - DIARISTA DIURNO - 30H</v>
      </c>
      <c r="F665" s="36">
        <f>IFERROR(VLOOKUP(D665,'[1]apoio_cód catmas'!$B$2:$C$863,2,FALSE),0)</f>
        <v>63320</v>
      </c>
      <c r="G665" s="33" t="str">
        <f>IF(H665="N/A",VLOOKUP(F665&amp;40,'[1]apoio_cód catmas'!$A$1:$G$233,4,FALSE),VLOOKUP(F665&amp;H665,'[1]apoio_cód catmas'!$A$1:$G$233,4,FALSE))</f>
        <v>TELEDIGIFONISTA - 30H OU 36H</v>
      </c>
      <c r="H665" s="36">
        <v>30</v>
      </c>
      <c r="I665" s="37">
        <v>0.05</v>
      </c>
      <c r="J665" s="38" t="s">
        <v>47</v>
      </c>
      <c r="K665" s="39">
        <v>17</v>
      </c>
      <c r="L665" s="39">
        <f t="shared" si="334"/>
        <v>1020</v>
      </c>
      <c r="M665" s="40">
        <f>VLOOKUP(D665,[1]apoio_Preços_MGS!$A$6:$AN$238,18,FALSE)</f>
        <v>2406.2721612031564</v>
      </c>
      <c r="N665" s="40">
        <f>VLOOKUP(D665,[1]apoio_Preços_MGS!$A$6:$AN$238,19,FALSE)</f>
        <v>0</v>
      </c>
      <c r="O665" s="40">
        <f>VLOOKUP(D665,[1]apoio_Preços_MGS!$A$6:$AN$238,20,FALSE)</f>
        <v>0</v>
      </c>
      <c r="P665" s="40">
        <f>VLOOKUP(D665,[1]apoio_Preços_MGS!$A$6:$AN$238,21,FALSE)</f>
        <v>0</v>
      </c>
      <c r="Q665" s="40">
        <f>VLOOKUP(D665,[1]apoio_Preços_MGS!$A$6:$AN$238,22,FALSE)</f>
        <v>0</v>
      </c>
      <c r="R665" s="40">
        <f>VLOOKUP(D665,[1]apoio_Preços_MGS!$A$6:$AN$238,23,FALSE)</f>
        <v>0</v>
      </c>
      <c r="S665" s="40">
        <f>VLOOKUP(D665,[1]apoio_Preços_MGS!$A$6:$AN$238,24,FALSE)</f>
        <v>0</v>
      </c>
      <c r="T665" s="40">
        <f>VLOOKUP(D665,[1]apoio_Preços_MGS!$A$6:$AN$238,25,FALSE)</f>
        <v>0</v>
      </c>
      <c r="U665" s="40">
        <f t="shared" ref="U665:U712" si="340">SUM(M665:T665)</f>
        <v>2406.2721612031564</v>
      </c>
      <c r="V665" s="41">
        <v>0.81799999999999995</v>
      </c>
      <c r="W665" s="40">
        <f t="shared" ref="W665:W712" si="341">U665*V665</f>
        <v>1968.3306278641819</v>
      </c>
      <c r="X665" s="40">
        <f>VLOOKUP(D665,[1]apoio_Preços_MGS!$A$6:$AN$238,29,FALSE)</f>
        <v>44.339166666666664</v>
      </c>
      <c r="Y665" s="40">
        <f>VLOOKUP(D665,[1]apoio_Preços_MGS!$A$6:$AN$238,30,FALSE)</f>
        <v>0</v>
      </c>
      <c r="Z665" s="40">
        <f t="shared" si="312"/>
        <v>44.339166666666664</v>
      </c>
      <c r="AA665" s="40">
        <f>VLOOKUP(D665,[1]apoio_Preços_MGS!$A$6:$AN$238,32,FALSE)</f>
        <v>4.6200425495100603</v>
      </c>
      <c r="AB665" s="40">
        <f>VLOOKUP(D665,[1]apoio_Preços_MGS!$A$6:$AN$238,33,FALSE)</f>
        <v>327.51924286088433</v>
      </c>
      <c r="AC665" s="41">
        <f>VLOOKUP(D665,[1]apoio_Preços_MGS!$A$6:$AN$238,34,FALSE)</f>
        <v>3.2986851836493587E-2</v>
      </c>
      <c r="AD665" s="40">
        <f>(U665+W665+Z665+AB665+AA665+VLOOKUP(C665,[1]apoio_Prec_Folha!$A:$S,7,FALSE))*AC665</f>
        <v>176.94877129980219</v>
      </c>
      <c r="AE665" s="42">
        <f>VLOOKUP(D665,[1]apoio_Preços_MGS!$A$6:$AN$238,36,FALSE)</f>
        <v>7.0000000000000007E-2</v>
      </c>
      <c r="AF665" s="40">
        <f>(U665+W665+Z665+AB665+AD665+AA665+VLOOKUP(C665,[1]apoio_Prec_Folha!$A:$S,7,FALSE))*AE665</f>
        <v>387.8819008710945</v>
      </c>
      <c r="AG665" s="40">
        <f t="shared" si="313"/>
        <v>5315.91</v>
      </c>
      <c r="AH665" s="43">
        <f t="shared" si="314"/>
        <v>6199.3</v>
      </c>
      <c r="AI665" s="43">
        <f t="shared" si="315"/>
        <v>105388.1</v>
      </c>
      <c r="AJ665" s="43">
        <f t="shared" si="316"/>
        <v>6323286</v>
      </c>
      <c r="AK665" s="44">
        <f>VLOOKUP(D665,[1]apoio_Preços_MGS!$A$6:$AN$238,39,FALSE)</f>
        <v>136.36363636363637</v>
      </c>
      <c r="AL665" s="44">
        <f>IF(J665="demais municípios",VLOOKUP(D665,[1]apoio_Preços_MGS!$A$6:$AN$238,39,FALSE),0)</f>
        <v>0</v>
      </c>
      <c r="AM665" s="44">
        <v>0</v>
      </c>
      <c r="AN665" s="45">
        <f t="shared" si="336"/>
        <v>0</v>
      </c>
      <c r="AO665" s="44">
        <f>VLOOKUP(D665,[1]apoio_Preços_MGS!$A$6:$AN$238,40,FALSE)</f>
        <v>724.62</v>
      </c>
      <c r="AP665" s="44">
        <f>IF(J665="demais municípios",VLOOKUP(D665,[1]apoio_Preços_MGS!$A$6:$AN$238,40,FALSE),0)</f>
        <v>0</v>
      </c>
      <c r="AQ665" s="44">
        <f>TRUNC(ROUND(($I665)/(1-($I665)),5)*VLOOKUP(D665,[1]apoio_Preços_MGS!$A$6:$AN$238,40,FALSE)+VLOOKUP(D665,[1]apoio_Preços_MGS!$A$6:$AN$238,40,FALSE),2)</f>
        <v>762.75</v>
      </c>
      <c r="AR665" s="45">
        <f t="shared" si="337"/>
        <v>12966.75</v>
      </c>
      <c r="AS665" s="45">
        <f t="shared" si="333"/>
        <v>12966.75</v>
      </c>
      <c r="AT665" s="45">
        <f t="shared" si="335"/>
        <v>778005</v>
      </c>
      <c r="AU665" s="62"/>
      <c r="AV665" s="46"/>
      <c r="AW665" s="47"/>
      <c r="AX665" s="48"/>
      <c r="AY665" s="49"/>
      <c r="BA665" s="48"/>
    </row>
    <row r="666" spans="1:53" ht="19.5" customHeight="1" x14ac:dyDescent="0.25">
      <c r="A666" s="33" t="str">
        <f t="shared" si="331"/>
        <v>63320360,05</v>
      </c>
      <c r="B666" s="33" t="str">
        <f t="shared" si="332"/>
        <v>430,05</v>
      </c>
      <c r="C666" s="34" t="str">
        <f>VLOOKUP(D666,[1]apoio_Preços_MGS!$A$6:$B$238,2,FALSE)</f>
        <v>TELEDIGIFONISTA</v>
      </c>
      <c r="D666" s="35">
        <v>43</v>
      </c>
      <c r="E666" s="33" t="str">
        <f>VLOOKUP(D666,[1]apoio_Preços_MGS!$A$6:$F$238,6,FALSE)</f>
        <v>TELEDIGIFONISTA - ESCALA DIURNA - 36H</v>
      </c>
      <c r="F666" s="36">
        <f>IFERROR(VLOOKUP(D666,'[1]apoio_cód catmas'!$B$2:$C$863,2,FALSE),0)</f>
        <v>63320</v>
      </c>
      <c r="G666" s="33" t="str">
        <f>IF(H666="N/A",VLOOKUP(F666&amp;40,'[1]apoio_cód catmas'!$A$1:$G$233,4,FALSE),VLOOKUP(F666&amp;H666,'[1]apoio_cód catmas'!$A$1:$G$233,4,FALSE))</f>
        <v>TELEDIGIFONISTA - 30H OU 36H</v>
      </c>
      <c r="H666" s="36">
        <v>36</v>
      </c>
      <c r="I666" s="37">
        <v>0.05</v>
      </c>
      <c r="J666" s="38" t="s">
        <v>47</v>
      </c>
      <c r="K666" s="39">
        <v>7</v>
      </c>
      <c r="L666" s="39">
        <f t="shared" si="334"/>
        <v>420</v>
      </c>
      <c r="M666" s="40">
        <f>VLOOKUP(D666,[1]apoio_Preços_MGS!$A$6:$AN$238,18,FALSE)</f>
        <v>2887.526593443788</v>
      </c>
      <c r="N666" s="40">
        <f>VLOOKUP(D666,[1]apoio_Preços_MGS!$A$6:$AN$238,19,FALSE)</f>
        <v>0</v>
      </c>
      <c r="O666" s="40">
        <f>VLOOKUP(D666,[1]apoio_Preços_MGS!$A$6:$AN$238,20,FALSE)</f>
        <v>0</v>
      </c>
      <c r="P666" s="40">
        <f>VLOOKUP(D666,[1]apoio_Preços_MGS!$A$6:$AN$238,21,FALSE)</f>
        <v>0</v>
      </c>
      <c r="Q666" s="40">
        <f>VLOOKUP(D666,[1]apoio_Preços_MGS!$A$6:$AN$238,22,FALSE)</f>
        <v>0</v>
      </c>
      <c r="R666" s="40">
        <f>VLOOKUP(D666,[1]apoio_Preços_MGS!$A$6:$AN$238,23,FALSE)</f>
        <v>0</v>
      </c>
      <c r="S666" s="40">
        <f>VLOOKUP(D666,[1]apoio_Preços_MGS!$A$6:$AN$238,24,FALSE)</f>
        <v>130.33974206517098</v>
      </c>
      <c r="T666" s="40">
        <f>VLOOKUP(D666,[1]apoio_Preços_MGS!$A$6:$AN$238,25,FALSE)</f>
        <v>0</v>
      </c>
      <c r="U666" s="40">
        <f t="shared" si="340"/>
        <v>3017.8663355089589</v>
      </c>
      <c r="V666" s="41">
        <v>0.81799999999999995</v>
      </c>
      <c r="W666" s="40">
        <f t="shared" si="341"/>
        <v>2468.6146624463281</v>
      </c>
      <c r="X666" s="40">
        <f>VLOOKUP(D666,[1]apoio_Preços_MGS!$A$6:$AN$238,29,FALSE)</f>
        <v>44.339166666666664</v>
      </c>
      <c r="Y666" s="40">
        <f>VLOOKUP(D666,[1]apoio_Preços_MGS!$A$6:$AN$238,30,FALSE)</f>
        <v>0</v>
      </c>
      <c r="Z666" s="40">
        <f t="shared" si="312"/>
        <v>44.339166666666664</v>
      </c>
      <c r="AA666" s="40">
        <f>VLOOKUP(D666,[1]apoio_Preços_MGS!$A$6:$AN$238,32,FALSE)</f>
        <v>5.5440510594120722</v>
      </c>
      <c r="AB666" s="40">
        <f>VLOOKUP(D666,[1]apoio_Preços_MGS!$A$6:$AN$238,33,FALSE)</f>
        <v>304.74493581346485</v>
      </c>
      <c r="AC666" s="41">
        <f>VLOOKUP(D666,[1]apoio_Preços_MGS!$A$6:$AN$238,34,FALSE)</f>
        <v>3.2986851836493587E-2</v>
      </c>
      <c r="AD666" s="40">
        <f>(U666+W666+Z666+AB666+AA666+VLOOKUP(C666,[1]apoio_Prec_Folha!$A:$S,7,FALSE))*AC666</f>
        <v>212.90536047617454</v>
      </c>
      <c r="AE666" s="42">
        <f>VLOOKUP(D666,[1]apoio_Preços_MGS!$A$6:$AN$238,36,FALSE)</f>
        <v>7.0000000000000007E-2</v>
      </c>
      <c r="AF666" s="40">
        <f>(U666+W666+Z666+AB666+AD666+AA666+VLOOKUP(C666,[1]apoio_Prec_Folha!$A:$S,7,FALSE))*AE666</f>
        <v>466.70081583797065</v>
      </c>
      <c r="AG666" s="40">
        <f t="shared" si="313"/>
        <v>6520.71</v>
      </c>
      <c r="AH666" s="43">
        <f t="shared" si="314"/>
        <v>7604.32</v>
      </c>
      <c r="AI666" s="43">
        <f t="shared" si="315"/>
        <v>53230.239999999998</v>
      </c>
      <c r="AJ666" s="43">
        <f t="shared" si="316"/>
        <v>3193814.4</v>
      </c>
      <c r="AK666" s="44">
        <f>VLOOKUP(D666,[1]apoio_Preços_MGS!$A$6:$AN$238,39,FALSE)</f>
        <v>163.63636363636365</v>
      </c>
      <c r="AL666" s="44">
        <f>IF(J666="demais municípios",VLOOKUP(D666,[1]apoio_Preços_MGS!$A$6:$AN$238,39,FALSE),0)</f>
        <v>0</v>
      </c>
      <c r="AM666" s="44">
        <v>0</v>
      </c>
      <c r="AN666" s="45">
        <f t="shared" si="336"/>
        <v>0</v>
      </c>
      <c r="AO666" s="44">
        <f>VLOOKUP(D666,[1]apoio_Preços_MGS!$A$6:$AN$238,40,FALSE)</f>
        <v>724.62</v>
      </c>
      <c r="AP666" s="44">
        <f>IF(J666="demais municípios",VLOOKUP(D666,[1]apoio_Preços_MGS!$A$6:$AN$238,40,FALSE),0)</f>
        <v>0</v>
      </c>
      <c r="AQ666" s="44">
        <f>TRUNC(ROUND(($I666)/(1-($I666)),5)*VLOOKUP(D666,[1]apoio_Preços_MGS!$A$6:$AN$238,40,FALSE)+VLOOKUP(D666,[1]apoio_Preços_MGS!$A$6:$AN$238,40,FALSE),2)</f>
        <v>762.75</v>
      </c>
      <c r="AR666" s="45">
        <f t="shared" si="337"/>
        <v>5339.25</v>
      </c>
      <c r="AS666" s="45">
        <f t="shared" si="333"/>
        <v>5339.25</v>
      </c>
      <c r="AT666" s="45">
        <f t="shared" si="335"/>
        <v>320355</v>
      </c>
      <c r="AU666" s="62"/>
      <c r="AV666" s="46"/>
      <c r="AW666" s="47"/>
      <c r="AX666" s="48"/>
      <c r="AY666" s="49"/>
      <c r="BA666" s="48"/>
    </row>
    <row r="667" spans="1:53" ht="19.5" customHeight="1" x14ac:dyDescent="0.25">
      <c r="A667" s="33" t="str">
        <f t="shared" si="331"/>
        <v>106690360,05</v>
      </c>
      <c r="B667" s="33" t="str">
        <f t="shared" si="332"/>
        <v>3780,05</v>
      </c>
      <c r="C667" s="34" t="str">
        <f>VLOOKUP(D667,[1]apoio_Preços_MGS!$A$6:$B$238,2,FALSE)</f>
        <v>TELEDIGIFONISTA</v>
      </c>
      <c r="D667" s="35">
        <v>378</v>
      </c>
      <c r="E667" s="33" t="str">
        <f>VLOOKUP(D667,[1]apoio_Preços_MGS!$A$6:$F$238,6,FALSE)</f>
        <v>TELEDIGIFONISTA (EXCLUSIVO SEJUSP) - ESCALA DIURNA - 36H</v>
      </c>
      <c r="F667" s="36">
        <f>IFERROR(VLOOKUP(D667,'[1]apoio_cód catmas'!$B$2:$C$863,2,FALSE),0)</f>
        <v>106690</v>
      </c>
      <c r="G667" s="33" t="str">
        <f>IF(H667="N/A",VLOOKUP(F667&amp;40,'[1]apoio_cód catmas'!$A$1:$G$233,4,FALSE),VLOOKUP(F667&amp;H667,'[1]apoio_cód catmas'!$A$1:$G$233,4,FALSE))</f>
        <v>TELEDIGIFONISTA - 30H OU 36H, SEM SUBSTITUICAO (EXCLUSIVO PARA SEJUSP)</v>
      </c>
      <c r="H667" s="36">
        <v>36</v>
      </c>
      <c r="I667" s="37">
        <v>0.05</v>
      </c>
      <c r="J667" s="38" t="s">
        <v>47</v>
      </c>
      <c r="K667" s="39">
        <v>276</v>
      </c>
      <c r="L667" s="39">
        <f t="shared" si="334"/>
        <v>16560</v>
      </c>
      <c r="M667" s="40">
        <f>VLOOKUP(D667,[1]apoio_Preços_MGS!$A$6:$AN$238,18,FALSE)</f>
        <v>2887.526593443788</v>
      </c>
      <c r="N667" s="40">
        <f>VLOOKUP(D667,[1]apoio_Preços_MGS!$A$6:$AN$238,19,FALSE)</f>
        <v>0</v>
      </c>
      <c r="O667" s="40">
        <f>VLOOKUP(D667,[1]apoio_Preços_MGS!$A$6:$AN$238,20,FALSE)</f>
        <v>0</v>
      </c>
      <c r="P667" s="40">
        <f>VLOOKUP(D667,[1]apoio_Preços_MGS!$A$6:$AN$238,21,FALSE)</f>
        <v>0</v>
      </c>
      <c r="Q667" s="40">
        <f>VLOOKUP(D667,[1]apoio_Preços_MGS!$A$6:$AN$238,22,FALSE)</f>
        <v>0</v>
      </c>
      <c r="R667" s="40">
        <f>VLOOKUP(D667,[1]apoio_Preços_MGS!$A$6:$AN$238,23,FALSE)</f>
        <v>0</v>
      </c>
      <c r="S667" s="40">
        <f>VLOOKUP(D667,[1]apoio_Preços_MGS!$A$6:$AN$238,24,FALSE)</f>
        <v>130.33974206517098</v>
      </c>
      <c r="T667" s="40">
        <f>VLOOKUP(D667,[1]apoio_Preços_MGS!$A$6:$AN$238,25,FALSE)</f>
        <v>0</v>
      </c>
      <c r="U667" s="40">
        <f t="shared" si="340"/>
        <v>3017.8663355089589</v>
      </c>
      <c r="V667" s="41">
        <v>0.81799999999999995</v>
      </c>
      <c r="W667" s="40">
        <f t="shared" si="341"/>
        <v>2468.6146624463281</v>
      </c>
      <c r="X667" s="40">
        <f>VLOOKUP(D667,[1]apoio_Preços_MGS!$A$6:$AN$238,29,FALSE)</f>
        <v>44.339166666666664</v>
      </c>
      <c r="Y667" s="40">
        <f>VLOOKUP(D667,[1]apoio_Preços_MGS!$A$6:$AN$238,30,FALSE)</f>
        <v>0</v>
      </c>
      <c r="Z667" s="40">
        <f t="shared" si="312"/>
        <v>44.339166666666664</v>
      </c>
      <c r="AA667" s="40">
        <f>VLOOKUP(D667,[1]apoio_Preços_MGS!$A$6:$AN$238,32,FALSE)</f>
        <v>5.5440510594120722</v>
      </c>
      <c r="AB667" s="40">
        <f>VLOOKUP(D667,[1]apoio_Preços_MGS!$A$6:$AN$238,33,FALSE)</f>
        <v>304.74493581346485</v>
      </c>
      <c r="AC667" s="41">
        <f>VLOOKUP(D667,[1]apoio_Preços_MGS!$A$6:$AN$238,34,FALSE)</f>
        <v>0</v>
      </c>
      <c r="AD667" s="40">
        <f>(U667+W667+Z667+AB667+AA667+VLOOKUP(C667,[1]apoio_Prec_Folha!$A:$S,7,FALSE))*AC667</f>
        <v>0</v>
      </c>
      <c r="AE667" s="42">
        <f>VLOOKUP(D667,[1]apoio_Preços_MGS!$A$6:$AN$238,36,FALSE)</f>
        <v>7.0000000000000007E-2</v>
      </c>
      <c r="AF667" s="40">
        <f>(U667+W667+Z667+AB667+AD667+AA667+VLOOKUP(C667,[1]apoio_Prec_Folha!$A:$S,7,FALSE))*AE667</f>
        <v>451.79744060463844</v>
      </c>
      <c r="AG667" s="40">
        <f t="shared" si="313"/>
        <v>6292.9</v>
      </c>
      <c r="AH667" s="43">
        <f t="shared" si="314"/>
        <v>7338.65</v>
      </c>
      <c r="AI667" s="43">
        <f t="shared" si="315"/>
        <v>2025467.4</v>
      </c>
      <c r="AJ667" s="43">
        <f t="shared" si="316"/>
        <v>121528044</v>
      </c>
      <c r="AK667" s="44">
        <f>VLOOKUP(D667,[1]apoio_Preços_MGS!$A$6:$AN$238,39,FALSE)</f>
        <v>163.63636363636365</v>
      </c>
      <c r="AL667" s="44">
        <f>IF(J667="demais municípios",VLOOKUP(D667,[1]apoio_Preços_MGS!$A$6:$AN$238,39,FALSE),0)</f>
        <v>0</v>
      </c>
      <c r="AM667" s="44">
        <v>0</v>
      </c>
      <c r="AN667" s="45">
        <f t="shared" si="336"/>
        <v>0</v>
      </c>
      <c r="AO667" s="44">
        <f>VLOOKUP(D667,[1]apoio_Preços_MGS!$A$6:$AN$238,40,FALSE)</f>
        <v>724.62</v>
      </c>
      <c r="AP667" s="44">
        <f>IF(J667="demais municípios",VLOOKUP(D667,[1]apoio_Preços_MGS!$A$6:$AN$238,40,FALSE),0)</f>
        <v>0</v>
      </c>
      <c r="AQ667" s="44">
        <f>TRUNC(ROUND(($I667)/(1-($I667)),5)*VLOOKUP(D667,[1]apoio_Preços_MGS!$A$6:$AN$238,40,FALSE)+VLOOKUP(D667,[1]apoio_Preços_MGS!$A$6:$AN$238,40,FALSE),2)</f>
        <v>762.75</v>
      </c>
      <c r="AR667" s="45">
        <f t="shared" si="337"/>
        <v>210519</v>
      </c>
      <c r="AS667" s="45">
        <f t="shared" si="333"/>
        <v>210519</v>
      </c>
      <c r="AT667" s="45">
        <f t="shared" si="335"/>
        <v>12631140</v>
      </c>
      <c r="AU667" s="62"/>
      <c r="AV667" s="46"/>
      <c r="AW667" s="47"/>
      <c r="AX667" s="48"/>
      <c r="AY667" s="49"/>
      <c r="BA667" s="48"/>
    </row>
    <row r="668" spans="1:53" ht="19.5" customHeight="1" x14ac:dyDescent="0.25">
      <c r="A668" s="33" t="str">
        <f t="shared" si="331"/>
        <v>106704300,05</v>
      </c>
      <c r="B668" s="33" t="str">
        <f t="shared" si="332"/>
        <v>3790,05</v>
      </c>
      <c r="C668" s="34" t="str">
        <f>VLOOKUP(D668,[1]apoio_Preços_MGS!$A$6:$B$238,2,FALSE)</f>
        <v>TELEDIGIFONISTA</v>
      </c>
      <c r="D668" s="35">
        <v>379</v>
      </c>
      <c r="E668" s="33" t="str">
        <f>VLOOKUP(D668,[1]apoio_Preços_MGS!$A$6:$F$238,6,FALSE)</f>
        <v>TELEDIGIFONISTA (EXCLUSIVO SEJUSP) (0H ÀS 6H) - ESCALA NOTURNA - 30H</v>
      </c>
      <c r="F668" s="36">
        <f>IFERROR(VLOOKUP(D668,'[1]apoio_cód catmas'!$B$2:$C$863,2,FALSE),0)</f>
        <v>106704</v>
      </c>
      <c r="G668" s="33" t="str">
        <f>IF(H668="N/A",VLOOKUP(F668&amp;40,'[1]apoio_cód catmas'!$A$1:$G$233,4,FALSE),VLOOKUP(F668&amp;H668,'[1]apoio_cód catmas'!$A$1:$G$233,4,FALSE))</f>
        <v>TELEDIGIFONISTA - NOTURNO (0H AS 6H) - 30H, SEM SUBSTITUICAO (EXCLUSIVO PARA SEJUSP)</v>
      </c>
      <c r="H668" s="36">
        <v>30</v>
      </c>
      <c r="I668" s="37">
        <v>0.05</v>
      </c>
      <c r="J668" s="38" t="s">
        <v>47</v>
      </c>
      <c r="K668" s="39">
        <v>89</v>
      </c>
      <c r="L668" s="39">
        <f t="shared" si="334"/>
        <v>5340</v>
      </c>
      <c r="M668" s="40">
        <f>VLOOKUP(D668,[1]apoio_Preços_MGS!$A$6:$AN$238,18,FALSE)</f>
        <v>2406.2721612031564</v>
      </c>
      <c r="N668" s="40">
        <f>VLOOKUP(D668,[1]apoio_Preços_MGS!$A$6:$AN$238,19,FALSE)</f>
        <v>0</v>
      </c>
      <c r="O668" s="40">
        <f>VLOOKUP(D668,[1]apoio_Preços_MGS!$A$6:$AN$238,20,FALSE)</f>
        <v>957.59923294361261</v>
      </c>
      <c r="P668" s="40">
        <f>VLOOKUP(D668,[1]apoio_Preços_MGS!$A$6:$AN$238,21,FALSE)</f>
        <v>14.632044750618761</v>
      </c>
      <c r="Q668" s="40">
        <f>VLOOKUP(D668,[1]apoio_Preços_MGS!$A$6:$AN$238,22,FALSE)</f>
        <v>78.385930505385716</v>
      </c>
      <c r="R668" s="40">
        <f>VLOOKUP(D668,[1]apoio_Preços_MGS!$A$6:$AN$238,23,FALSE)</f>
        <v>0</v>
      </c>
      <c r="S668" s="40">
        <f>VLOOKUP(D668,[1]apoio_Preços_MGS!$A$6:$AN$238,24,FALSE)</f>
        <v>130.33974206517098</v>
      </c>
      <c r="T668" s="40">
        <f>VLOOKUP(D668,[1]apoio_Preços_MGS!$A$6:$AN$238,25,FALSE)</f>
        <v>0</v>
      </c>
      <c r="U668" s="40">
        <f t="shared" si="340"/>
        <v>3587.2291114679442</v>
      </c>
      <c r="V668" s="41">
        <v>0.81799999999999995</v>
      </c>
      <c r="W668" s="40">
        <f t="shared" si="341"/>
        <v>2934.3534131807783</v>
      </c>
      <c r="X668" s="40">
        <f>VLOOKUP(D668,[1]apoio_Preços_MGS!$A$6:$AN$238,29,FALSE)</f>
        <v>44.339166666666664</v>
      </c>
      <c r="Y668" s="40">
        <f>VLOOKUP(D668,[1]apoio_Preços_MGS!$A$6:$AN$238,30,FALSE)</f>
        <v>0</v>
      </c>
      <c r="Z668" s="40">
        <f t="shared" si="312"/>
        <v>44.339166666666664</v>
      </c>
      <c r="AA668" s="40">
        <f>VLOOKUP(D668,[1]apoio_Preços_MGS!$A$6:$AN$238,32,FALSE)</f>
        <v>4.6200425495100603</v>
      </c>
      <c r="AB668" s="40">
        <f>VLOOKUP(D668,[1]apoio_Preços_MGS!$A$6:$AN$238,33,FALSE)</f>
        <v>327.51924286088433</v>
      </c>
      <c r="AC668" s="41">
        <f>VLOOKUP(D668,[1]apoio_Preços_MGS!$A$6:$AN$238,34,FALSE)</f>
        <v>0</v>
      </c>
      <c r="AD668" s="40">
        <f>(U668+W668+Z668+AB668+AA668+VLOOKUP(C668,[1]apoio_Prec_Folha!$A:$S,7,FALSE))*AC668</f>
        <v>0</v>
      </c>
      <c r="AE668" s="42">
        <f>VLOOKUP(D668,[1]apoio_Preços_MGS!$A$6:$AN$238,36,FALSE)</f>
        <v>7.0000000000000007E-2</v>
      </c>
      <c r="AF668" s="40">
        <f>(U668+W668+Z668+AB668+AD668+AA668+VLOOKUP(C668,[1]apoio_Prec_Folha!$A:$S,7,FALSE))*AE668</f>
        <v>525.78406837080524</v>
      </c>
      <c r="AG668" s="40">
        <f t="shared" si="313"/>
        <v>7423.84</v>
      </c>
      <c r="AH668" s="43">
        <f t="shared" si="314"/>
        <v>8657.5300000000007</v>
      </c>
      <c r="AI668" s="43">
        <f t="shared" si="315"/>
        <v>770520.17</v>
      </c>
      <c r="AJ668" s="43">
        <f t="shared" si="316"/>
        <v>46231210.200000003</v>
      </c>
      <c r="AK668" s="44">
        <f>VLOOKUP(D668,[1]apoio_Preços_MGS!$A$6:$AN$238,39,FALSE)</f>
        <v>136.36363636363637</v>
      </c>
      <c r="AL668" s="44">
        <f>IF(J668="demais municípios",VLOOKUP(D668,[1]apoio_Preços_MGS!$A$6:$AN$238,39,FALSE),0)</f>
        <v>0</v>
      </c>
      <c r="AM668" s="44">
        <v>0</v>
      </c>
      <c r="AN668" s="45">
        <f t="shared" si="336"/>
        <v>0</v>
      </c>
      <c r="AO668" s="44">
        <f>VLOOKUP(D668,[1]apoio_Preços_MGS!$A$6:$AN$238,40,FALSE)</f>
        <v>724.62</v>
      </c>
      <c r="AP668" s="44">
        <f>IF(J668="demais municípios",VLOOKUP(D668,[1]apoio_Preços_MGS!$A$6:$AN$238,40,FALSE),0)</f>
        <v>0</v>
      </c>
      <c r="AQ668" s="44">
        <f>TRUNC(ROUND(($I668)/(1-($I668)),5)*VLOOKUP(D668,[1]apoio_Preços_MGS!$A$6:$AN$238,40,FALSE)+VLOOKUP(D668,[1]apoio_Preços_MGS!$A$6:$AN$238,40,FALSE),2)</f>
        <v>762.75</v>
      </c>
      <c r="AR668" s="45">
        <f t="shared" si="337"/>
        <v>67884.75</v>
      </c>
      <c r="AS668" s="45">
        <f t="shared" si="333"/>
        <v>67884.75</v>
      </c>
      <c r="AT668" s="45">
        <f t="shared" si="335"/>
        <v>4073085</v>
      </c>
      <c r="AU668" s="62"/>
      <c r="AV668" s="46"/>
      <c r="AW668" s="47"/>
      <c r="AX668" s="48"/>
      <c r="AY668" s="49"/>
      <c r="BA668" s="48"/>
    </row>
    <row r="669" spans="1:53" ht="19.5" customHeight="1" x14ac:dyDescent="0.25">
      <c r="A669" s="33" t="str">
        <f t="shared" si="331"/>
        <v>120170300,05</v>
      </c>
      <c r="B669" s="33" t="str">
        <f t="shared" si="332"/>
        <v>13600,05</v>
      </c>
      <c r="C669" s="34" t="str">
        <f>VLOOKUP(D669,[1]apoio_Preços_MGS!$A$6:$B$238,2,FALSE)</f>
        <v>TELEDIGIFONISTA</v>
      </c>
      <c r="D669" s="35">
        <v>1360</v>
      </c>
      <c r="E669" s="33" t="str">
        <f>VLOOKUP(D669,[1]apoio_Preços_MGS!$A$6:$F$238,6,FALSE)</f>
        <v>TELEDIGIFONISTA (EXCLUSIVO SEJUSP) (22H ÀS 4H) - DIARISTA NOTURNO - 30H</v>
      </c>
      <c r="F669" s="36">
        <f>IFERROR(VLOOKUP(D669,'[1]apoio_cód catmas'!$B$2:$C$863,2,FALSE),0)</f>
        <v>120170</v>
      </c>
      <c r="G669" s="33" t="str">
        <f>IF(H669="N/A",VLOOKUP(F669&amp;40,'[1]apoio_cód catmas'!$A$1:$G$233,4,FALSE),VLOOKUP(F669&amp;H669,'[1]apoio_cód catmas'!$A$1:$G$233,4,FALSE))</f>
        <v>TELEDIGIFONISTA - NOTURNO (22H AS 4H) - 30H, SEM SUBSTITUICAO (EXCLUSIVO PARA SEJUSP)</v>
      </c>
      <c r="H669" s="36">
        <v>30</v>
      </c>
      <c r="I669" s="37">
        <v>0.05</v>
      </c>
      <c r="J669" s="38" t="s">
        <v>47</v>
      </c>
      <c r="K669" s="39">
        <v>14</v>
      </c>
      <c r="L669" s="39">
        <f t="shared" si="334"/>
        <v>840</v>
      </c>
      <c r="M669" s="40">
        <f>VLOOKUP(D669,[1]apoio_Preços_MGS!$A$6:$AN$238,18,FALSE)</f>
        <v>2406.2721612031564</v>
      </c>
      <c r="N669" s="40">
        <f>VLOOKUP(D669,[1]apoio_Preços_MGS!$A$6:$AN$238,19,FALSE)</f>
        <v>0</v>
      </c>
      <c r="O669" s="40">
        <f>VLOOKUP(D669,[1]apoio_Preços_MGS!$A$6:$AN$238,20,FALSE)</f>
        <v>1149.1190795323353</v>
      </c>
      <c r="P669" s="40">
        <f>VLOOKUP(D669,[1]apoio_Preços_MGS!$A$6:$AN$238,21,FALSE)</f>
        <v>0</v>
      </c>
      <c r="Q669" s="40">
        <f>VLOOKUP(D669,[1]apoio_Preços_MGS!$A$6:$AN$238,22,FALSE)</f>
        <v>94.063116606462856</v>
      </c>
      <c r="R669" s="40">
        <f>VLOOKUP(D669,[1]apoio_Preços_MGS!$A$6:$AN$238,23,FALSE)</f>
        <v>0</v>
      </c>
      <c r="S669" s="40">
        <f>VLOOKUP(D669,[1]apoio_Preços_MGS!$A$6:$AN$238,24,FALSE)</f>
        <v>0</v>
      </c>
      <c r="T669" s="40">
        <f>VLOOKUP(D669,[1]apoio_Preços_MGS!$A$6:$AN$238,25,FALSE)</f>
        <v>0</v>
      </c>
      <c r="U669" s="40">
        <f t="shared" si="340"/>
        <v>3649.4543573419546</v>
      </c>
      <c r="V669" s="41">
        <v>0.81799999999999995</v>
      </c>
      <c r="W669" s="40">
        <f t="shared" si="341"/>
        <v>2985.2536643057188</v>
      </c>
      <c r="X669" s="40">
        <f>VLOOKUP(D669,[1]apoio_Preços_MGS!$A$6:$AN$238,29,FALSE)</f>
        <v>44.339166666666664</v>
      </c>
      <c r="Y669" s="40">
        <f>VLOOKUP(D669,[1]apoio_Preços_MGS!$A$6:$AN$238,30,FALSE)</f>
        <v>0</v>
      </c>
      <c r="Z669" s="40">
        <f t="shared" si="312"/>
        <v>44.339166666666664</v>
      </c>
      <c r="AA669" s="40">
        <f>VLOOKUP(D669,[1]apoio_Preços_MGS!$A$6:$AN$238,32,FALSE)</f>
        <v>4.6200425495100603</v>
      </c>
      <c r="AB669" s="40">
        <f>VLOOKUP(D669,[1]apoio_Preços_MGS!$A$6:$AN$238,33,FALSE)</f>
        <v>327.51924286088433</v>
      </c>
      <c r="AC669" s="41">
        <f>VLOOKUP(D669,[1]apoio_Preços_MGS!$A$6:$AN$238,34,FALSE)</f>
        <v>0</v>
      </c>
      <c r="AD669" s="40">
        <f>(U669+W669+Z669+AB669+AA669+VLOOKUP(C669,[1]apoio_Prec_Folha!$A:$S,7,FALSE))*AC669</f>
        <v>0</v>
      </c>
      <c r="AE669" s="42">
        <f>VLOOKUP(D669,[1]apoio_Preços_MGS!$A$6:$AN$238,36,FALSE)</f>
        <v>7.0000000000000007E-2</v>
      </c>
      <c r="AF669" s="40">
        <f>(U669+W669+Z669+AB669+AD669+AA669+VLOOKUP(C669,[1]apoio_Prec_Folha!$A:$S,7,FALSE))*AE669</f>
        <v>533.70285316073182</v>
      </c>
      <c r="AG669" s="40">
        <f t="shared" si="313"/>
        <v>7544.88</v>
      </c>
      <c r="AH669" s="43">
        <f t="shared" si="314"/>
        <v>8798.68</v>
      </c>
      <c r="AI669" s="43">
        <f t="shared" si="315"/>
        <v>123181.52</v>
      </c>
      <c r="AJ669" s="43">
        <f t="shared" si="316"/>
        <v>7390891.2000000002</v>
      </c>
      <c r="AK669" s="44">
        <f>VLOOKUP(D669,[1]apoio_Preços_MGS!$A$6:$AN$238,39,FALSE)</f>
        <v>136.36363636363637</v>
      </c>
      <c r="AL669" s="44">
        <f>IF(J669="demais municípios",VLOOKUP(D669,[1]apoio_Preços_MGS!$A$6:$AN$238,39,FALSE),0)</f>
        <v>0</v>
      </c>
      <c r="AM669" s="44">
        <v>0</v>
      </c>
      <c r="AN669" s="45">
        <f t="shared" si="336"/>
        <v>0</v>
      </c>
      <c r="AO669" s="44">
        <f>VLOOKUP(D669,[1]apoio_Preços_MGS!$A$6:$AN$238,40,FALSE)</f>
        <v>724.62</v>
      </c>
      <c r="AP669" s="44">
        <f>IF(J669="demais municípios",VLOOKUP(D669,[1]apoio_Preços_MGS!$A$6:$AN$238,40,FALSE),0)</f>
        <v>0</v>
      </c>
      <c r="AQ669" s="44">
        <f>TRUNC(ROUND(($I669)/(1-($I669)),5)*VLOOKUP(D669,[1]apoio_Preços_MGS!$A$6:$AN$238,40,FALSE)+VLOOKUP(D669,[1]apoio_Preços_MGS!$A$6:$AN$238,40,FALSE),2)</f>
        <v>762.75</v>
      </c>
      <c r="AR669" s="45">
        <f t="shared" si="337"/>
        <v>10678.5</v>
      </c>
      <c r="AS669" s="45">
        <f t="shared" si="333"/>
        <v>10678.5</v>
      </c>
      <c r="AT669" s="45">
        <f t="shared" si="335"/>
        <v>640710</v>
      </c>
      <c r="AU669" s="62"/>
      <c r="AV669" s="46"/>
      <c r="AW669" s="47"/>
      <c r="AX669" s="48"/>
      <c r="AY669" s="49"/>
      <c r="BA669" s="48"/>
    </row>
    <row r="670" spans="1:53" ht="19.5" customHeight="1" x14ac:dyDescent="0.25">
      <c r="A670" s="33" t="str">
        <f t="shared" si="331"/>
        <v>63312300,02</v>
      </c>
      <c r="B670" s="33" t="str">
        <f t="shared" si="332"/>
        <v>290,02</v>
      </c>
      <c r="C670" s="34" t="str">
        <f>VLOOKUP(D670,[1]apoio_Preços_MGS!$A$6:$B$238,2,FALSE)</f>
        <v>TELEFONISTA</v>
      </c>
      <c r="D670" s="35">
        <v>29</v>
      </c>
      <c r="E670" s="33" t="str">
        <f>VLOOKUP(D670,[1]apoio_Preços_MGS!$A$6:$F$238,6,FALSE)</f>
        <v>TELEFONISTA - DIARISTA DIURNO - 30H</v>
      </c>
      <c r="F670" s="36">
        <f>IFERROR(VLOOKUP(D670,'[1]apoio_cód catmas'!$B$2:$C$863,2,FALSE),0)</f>
        <v>63312</v>
      </c>
      <c r="G670" s="33" t="str">
        <f>IF(H670="N/A",VLOOKUP(F670&amp;40,'[1]apoio_cód catmas'!$A$1:$G$233,4,FALSE),VLOOKUP(F670&amp;H670,'[1]apoio_cód catmas'!$A$1:$G$233,4,FALSE))</f>
        <v>TELEFONISTA - 30H</v>
      </c>
      <c r="H670" s="36">
        <v>30</v>
      </c>
      <c r="I670" s="37">
        <v>0.02</v>
      </c>
      <c r="J670" s="38" t="s">
        <v>46</v>
      </c>
      <c r="K670" s="39">
        <v>4</v>
      </c>
      <c r="L670" s="39">
        <f t="shared" si="334"/>
        <v>240</v>
      </c>
      <c r="M670" s="40">
        <f>VLOOKUP(D670,[1]apoio_Preços_MGS!$A$6:$AN$238,18,FALSE)</f>
        <v>2398.5046500684907</v>
      </c>
      <c r="N670" s="40">
        <f>VLOOKUP(D670,[1]apoio_Preços_MGS!$A$6:$AN$238,19,FALSE)</f>
        <v>0</v>
      </c>
      <c r="O670" s="40">
        <f>VLOOKUP(D670,[1]apoio_Preços_MGS!$A$6:$AN$238,20,FALSE)</f>
        <v>0</v>
      </c>
      <c r="P670" s="40">
        <f>VLOOKUP(D670,[1]apoio_Preços_MGS!$A$6:$AN$238,21,FALSE)</f>
        <v>0</v>
      </c>
      <c r="Q670" s="40">
        <f>VLOOKUP(D670,[1]apoio_Preços_MGS!$A$6:$AN$238,22,FALSE)</f>
        <v>0</v>
      </c>
      <c r="R670" s="40">
        <f>VLOOKUP(D670,[1]apoio_Preços_MGS!$A$6:$AN$238,23,FALSE)</f>
        <v>0</v>
      </c>
      <c r="S670" s="40">
        <f>VLOOKUP(D670,[1]apoio_Preços_MGS!$A$6:$AN$238,24,FALSE)</f>
        <v>0</v>
      </c>
      <c r="T670" s="40">
        <f>VLOOKUP(D670,[1]apoio_Preços_MGS!$A$6:$AN$238,25,FALSE)</f>
        <v>0</v>
      </c>
      <c r="U670" s="40">
        <f t="shared" si="340"/>
        <v>2398.5046500684907</v>
      </c>
      <c r="V670" s="41">
        <v>0.81799999999999995</v>
      </c>
      <c r="W670" s="40">
        <f t="shared" si="341"/>
        <v>1961.9768037560252</v>
      </c>
      <c r="X670" s="40">
        <f>VLOOKUP(D670,[1]apoio_Preços_MGS!$A$6:$AN$238,29,FALSE)</f>
        <v>44.339166666666664</v>
      </c>
      <c r="Y670" s="40">
        <f>VLOOKUP(D670,[1]apoio_Preços_MGS!$A$6:$AN$238,30,FALSE)</f>
        <v>0</v>
      </c>
      <c r="Z670" s="40">
        <f t="shared" si="312"/>
        <v>44.339166666666664</v>
      </c>
      <c r="AA670" s="40">
        <f>VLOOKUP(D670,[1]apoio_Preços_MGS!$A$6:$AN$238,32,FALSE)</f>
        <v>4.605128928131502</v>
      </c>
      <c r="AB670" s="40">
        <f>VLOOKUP(D670,[1]apoio_Preços_MGS!$A$6:$AN$238,33,FALSE)</f>
        <v>204.37744084682441</v>
      </c>
      <c r="AC670" s="41">
        <f>VLOOKUP(D670,[1]apoio_Preços_MGS!$A$6:$AN$238,34,FALSE)</f>
        <v>3.2573876101994526E-2</v>
      </c>
      <c r="AD670" s="40">
        <f>(U670+W670+Z670+AB670+AA670+VLOOKUP(C670,[1]apoio_Prec_Folha!$A:$S,7,FALSE))*AC670</f>
        <v>170.26179987189315</v>
      </c>
      <c r="AE670" s="42">
        <f>VLOOKUP(D670,[1]apoio_Preços_MGS!$A$6:$AN$238,36,FALSE)</f>
        <v>7.0000000000000007E-2</v>
      </c>
      <c r="AF670" s="40">
        <f>(U670+W670+Z670+AB670+AD670+AA670+VLOOKUP(C670,[1]apoio_Prec_Folha!$A:$S,7,FALSE))*AE670</f>
        <v>377.8043493096622</v>
      </c>
      <c r="AG670" s="40">
        <f t="shared" si="313"/>
        <v>5161.8599999999997</v>
      </c>
      <c r="AH670" s="43">
        <f t="shared" si="314"/>
        <v>5816.17</v>
      </c>
      <c r="AI670" s="43">
        <f t="shared" si="315"/>
        <v>23264.68</v>
      </c>
      <c r="AJ670" s="43">
        <f t="shared" si="316"/>
        <v>1395880.8</v>
      </c>
      <c r="AK670" s="44">
        <f>VLOOKUP(D670,[1]apoio_Preços_MGS!$A$6:$AN$238,39,FALSE)</f>
        <v>136.36363636363637</v>
      </c>
      <c r="AL670" s="44">
        <f>IF(J670="demais municípios",VLOOKUP(D670,[1]apoio_Preços_MGS!$A$6:$AN$238,39,FALSE),0)</f>
        <v>136.36363636363637</v>
      </c>
      <c r="AM670" s="44">
        <v>0</v>
      </c>
      <c r="AN670" s="45">
        <f t="shared" ref="AN670:AN671" si="342">AK670*K670</f>
        <v>545.4545454545455</v>
      </c>
      <c r="AO670" s="44">
        <f>VLOOKUP(D670,[1]apoio_Preços_MGS!$A$6:$AN$238,40,FALSE)</f>
        <v>613.14</v>
      </c>
      <c r="AP670" s="44">
        <f>IF(J670="demais municípios",VLOOKUP(D670,[1]apoio_Preços_MGS!$A$6:$AN$238,40,FALSE),0)</f>
        <v>613.14</v>
      </c>
      <c r="AQ670" s="44">
        <v>0</v>
      </c>
      <c r="AR670" s="45">
        <f t="shared" ref="AR670:AR671" si="343">AO670*K670</f>
        <v>2452.56</v>
      </c>
      <c r="AS670" s="45">
        <f t="shared" si="333"/>
        <v>2998.0145454545454</v>
      </c>
      <c r="AT670" s="45">
        <f t="shared" si="335"/>
        <v>179880.87272727274</v>
      </c>
      <c r="AU670" s="62"/>
      <c r="AV670" s="46"/>
      <c r="AW670" s="47"/>
      <c r="AX670" s="48"/>
      <c r="AY670" s="49"/>
      <c r="BA670" s="48"/>
    </row>
    <row r="671" spans="1:53" ht="19.5" customHeight="1" x14ac:dyDescent="0.25">
      <c r="A671" s="33" t="str">
        <f t="shared" si="331"/>
        <v>63312300,03</v>
      </c>
      <c r="B671" s="33" t="str">
        <f t="shared" si="332"/>
        <v>290,03</v>
      </c>
      <c r="C671" s="34" t="str">
        <f>VLOOKUP(D671,[1]apoio_Preços_MGS!$A$6:$B$238,2,FALSE)</f>
        <v>TELEFONISTA</v>
      </c>
      <c r="D671" s="35">
        <v>29</v>
      </c>
      <c r="E671" s="33" t="str">
        <f>VLOOKUP(D671,[1]apoio_Preços_MGS!$A$6:$F$238,6,FALSE)</f>
        <v>TELEFONISTA - DIARISTA DIURNO - 30H</v>
      </c>
      <c r="F671" s="36">
        <f>IFERROR(VLOOKUP(D671,'[1]apoio_cód catmas'!$B$2:$C$863,2,FALSE),0)</f>
        <v>63312</v>
      </c>
      <c r="G671" s="33" t="str">
        <f>IF(H671="N/A",VLOOKUP(F671&amp;40,'[1]apoio_cód catmas'!$A$1:$G$233,4,FALSE),VLOOKUP(F671&amp;H671,'[1]apoio_cód catmas'!$A$1:$G$233,4,FALSE))</f>
        <v>TELEFONISTA - 30H</v>
      </c>
      <c r="H671" s="36">
        <v>30</v>
      </c>
      <c r="I671" s="37">
        <v>0.03</v>
      </c>
      <c r="J671" s="38" t="s">
        <v>46</v>
      </c>
      <c r="K671" s="39">
        <v>25</v>
      </c>
      <c r="L671" s="39">
        <f t="shared" si="334"/>
        <v>1500</v>
      </c>
      <c r="M671" s="40">
        <f>VLOOKUP(D671,[1]apoio_Preços_MGS!$A$6:$AN$238,18,FALSE)</f>
        <v>2398.5046500684907</v>
      </c>
      <c r="N671" s="40">
        <f>VLOOKUP(D671,[1]apoio_Preços_MGS!$A$6:$AN$238,19,FALSE)</f>
        <v>0</v>
      </c>
      <c r="O671" s="40">
        <f>VLOOKUP(D671,[1]apoio_Preços_MGS!$A$6:$AN$238,20,FALSE)</f>
        <v>0</v>
      </c>
      <c r="P671" s="40">
        <f>VLOOKUP(D671,[1]apoio_Preços_MGS!$A$6:$AN$238,21,FALSE)</f>
        <v>0</v>
      </c>
      <c r="Q671" s="40">
        <f>VLOOKUP(D671,[1]apoio_Preços_MGS!$A$6:$AN$238,22,FALSE)</f>
        <v>0</v>
      </c>
      <c r="R671" s="40">
        <f>VLOOKUP(D671,[1]apoio_Preços_MGS!$A$6:$AN$238,23,FALSE)</f>
        <v>0</v>
      </c>
      <c r="S671" s="40">
        <f>VLOOKUP(D671,[1]apoio_Preços_MGS!$A$6:$AN$238,24,FALSE)</f>
        <v>0</v>
      </c>
      <c r="T671" s="40">
        <f>VLOOKUP(D671,[1]apoio_Preços_MGS!$A$6:$AN$238,25,FALSE)</f>
        <v>0</v>
      </c>
      <c r="U671" s="40">
        <f t="shared" si="340"/>
        <v>2398.5046500684907</v>
      </c>
      <c r="V671" s="41">
        <v>0.81799999999999995</v>
      </c>
      <c r="W671" s="40">
        <f t="shared" si="341"/>
        <v>1961.9768037560252</v>
      </c>
      <c r="X671" s="40">
        <f>VLOOKUP(D671,[1]apoio_Preços_MGS!$A$6:$AN$238,29,FALSE)</f>
        <v>44.339166666666664</v>
      </c>
      <c r="Y671" s="40">
        <f>VLOOKUP(D671,[1]apoio_Preços_MGS!$A$6:$AN$238,30,FALSE)</f>
        <v>0</v>
      </c>
      <c r="Z671" s="40">
        <f t="shared" si="312"/>
        <v>44.339166666666664</v>
      </c>
      <c r="AA671" s="40">
        <f>VLOOKUP(D671,[1]apoio_Preços_MGS!$A$6:$AN$238,32,FALSE)</f>
        <v>4.605128928131502</v>
      </c>
      <c r="AB671" s="40">
        <f>VLOOKUP(D671,[1]apoio_Preços_MGS!$A$6:$AN$238,33,FALSE)</f>
        <v>204.37744084682441</v>
      </c>
      <c r="AC671" s="41">
        <f>VLOOKUP(D671,[1]apoio_Preços_MGS!$A$6:$AN$238,34,FALSE)</f>
        <v>3.2573876101994526E-2</v>
      </c>
      <c r="AD671" s="40">
        <f>(U671+W671+Z671+AB671+AA671+VLOOKUP(C671,[1]apoio_Prec_Folha!$A:$S,7,FALSE))*AC671</f>
        <v>170.26179987189315</v>
      </c>
      <c r="AE671" s="42">
        <f>VLOOKUP(D671,[1]apoio_Preços_MGS!$A$6:$AN$238,36,FALSE)</f>
        <v>7.0000000000000007E-2</v>
      </c>
      <c r="AF671" s="40">
        <f>(U671+W671+Z671+AB671+AD671+AA671+VLOOKUP(C671,[1]apoio_Prec_Folha!$A:$S,7,FALSE))*AE671</f>
        <v>377.8043493096622</v>
      </c>
      <c r="AG671" s="40">
        <f t="shared" si="313"/>
        <v>5161.8599999999997</v>
      </c>
      <c r="AH671" s="43">
        <f t="shared" si="314"/>
        <v>5882.45</v>
      </c>
      <c r="AI671" s="43">
        <f t="shared" si="315"/>
        <v>147061.25</v>
      </c>
      <c r="AJ671" s="43">
        <f t="shared" si="316"/>
        <v>8823675</v>
      </c>
      <c r="AK671" s="44">
        <f>VLOOKUP(D671,[1]apoio_Preços_MGS!$A$6:$AN$238,39,FALSE)</f>
        <v>136.36363636363637</v>
      </c>
      <c r="AL671" s="44">
        <f>IF(J671="demais municípios",VLOOKUP(D671,[1]apoio_Preços_MGS!$A$6:$AN$238,39,FALSE),0)</f>
        <v>136.36363636363637</v>
      </c>
      <c r="AM671" s="44">
        <v>0</v>
      </c>
      <c r="AN671" s="45">
        <f t="shared" si="342"/>
        <v>3409.0909090909095</v>
      </c>
      <c r="AO671" s="44">
        <f>VLOOKUP(D671,[1]apoio_Preços_MGS!$A$6:$AN$238,40,FALSE)</f>
        <v>613.14</v>
      </c>
      <c r="AP671" s="44">
        <f>IF(J671="demais municípios",VLOOKUP(D671,[1]apoio_Preços_MGS!$A$6:$AN$238,40,FALSE),0)</f>
        <v>613.14</v>
      </c>
      <c r="AQ671" s="44">
        <v>0</v>
      </c>
      <c r="AR671" s="45">
        <f t="shared" si="343"/>
        <v>15328.5</v>
      </c>
      <c r="AS671" s="45">
        <f t="shared" si="333"/>
        <v>18737.590909090908</v>
      </c>
      <c r="AT671" s="45">
        <f t="shared" si="335"/>
        <v>1124255.4545454546</v>
      </c>
      <c r="AU671" s="62"/>
      <c r="AV671" s="46"/>
      <c r="AW671" s="47"/>
      <c r="AX671" s="48"/>
      <c r="AY671" s="49"/>
      <c r="BA671" s="48"/>
    </row>
    <row r="672" spans="1:53" ht="19.5" customHeight="1" x14ac:dyDescent="0.25">
      <c r="A672" s="33" t="str">
        <f t="shared" si="331"/>
        <v>63312300,05</v>
      </c>
      <c r="B672" s="33" t="str">
        <f t="shared" si="332"/>
        <v>290,05</v>
      </c>
      <c r="C672" s="34" t="str">
        <f>VLOOKUP(D672,[1]apoio_Preços_MGS!$A$6:$B$238,2,FALSE)</f>
        <v>TELEFONISTA</v>
      </c>
      <c r="D672" s="35">
        <v>29</v>
      </c>
      <c r="E672" s="33" t="str">
        <f>VLOOKUP(D672,[1]apoio_Preços_MGS!$A$6:$F$238,6,FALSE)</f>
        <v>TELEFONISTA - DIARISTA DIURNO - 30H</v>
      </c>
      <c r="F672" s="36">
        <f>IFERROR(VLOOKUP(D672,'[1]apoio_cód catmas'!$B$2:$C$863,2,FALSE),0)</f>
        <v>63312</v>
      </c>
      <c r="G672" s="33" t="str">
        <f>IF(H672="N/A",VLOOKUP(F672&amp;40,'[1]apoio_cód catmas'!$A$1:$G$233,4,FALSE),VLOOKUP(F672&amp;H672,'[1]apoio_cód catmas'!$A$1:$G$233,4,FALSE))</f>
        <v>TELEFONISTA - 30H</v>
      </c>
      <c r="H672" s="36">
        <v>30</v>
      </c>
      <c r="I672" s="37">
        <v>0.05</v>
      </c>
      <c r="J672" s="38" t="s">
        <v>47</v>
      </c>
      <c r="K672" s="39">
        <v>86</v>
      </c>
      <c r="L672" s="39">
        <f t="shared" si="334"/>
        <v>5160</v>
      </c>
      <c r="M672" s="40">
        <f>VLOOKUP(D672,[1]apoio_Preços_MGS!$A$6:$AN$238,18,FALSE)</f>
        <v>2398.5046500684907</v>
      </c>
      <c r="N672" s="40">
        <f>VLOOKUP(D672,[1]apoio_Preços_MGS!$A$6:$AN$238,19,FALSE)</f>
        <v>0</v>
      </c>
      <c r="O672" s="40">
        <f>VLOOKUP(D672,[1]apoio_Preços_MGS!$A$6:$AN$238,20,FALSE)</f>
        <v>0</v>
      </c>
      <c r="P672" s="40">
        <f>VLOOKUP(D672,[1]apoio_Preços_MGS!$A$6:$AN$238,21,FALSE)</f>
        <v>0</v>
      </c>
      <c r="Q672" s="40">
        <f>VLOOKUP(D672,[1]apoio_Preços_MGS!$A$6:$AN$238,22,FALSE)</f>
        <v>0</v>
      </c>
      <c r="R672" s="40">
        <f>VLOOKUP(D672,[1]apoio_Preços_MGS!$A$6:$AN$238,23,FALSE)</f>
        <v>0</v>
      </c>
      <c r="S672" s="40">
        <f>VLOOKUP(D672,[1]apoio_Preços_MGS!$A$6:$AN$238,24,FALSE)</f>
        <v>0</v>
      </c>
      <c r="T672" s="40">
        <f>VLOOKUP(D672,[1]apoio_Preços_MGS!$A$6:$AN$238,25,FALSE)</f>
        <v>0</v>
      </c>
      <c r="U672" s="40">
        <f t="shared" si="340"/>
        <v>2398.5046500684907</v>
      </c>
      <c r="V672" s="41">
        <v>0.81799999999999995</v>
      </c>
      <c r="W672" s="40">
        <f t="shared" si="341"/>
        <v>1961.9768037560252</v>
      </c>
      <c r="X672" s="40">
        <f>VLOOKUP(D672,[1]apoio_Preços_MGS!$A$6:$AN$238,29,FALSE)</f>
        <v>44.339166666666664</v>
      </c>
      <c r="Y672" s="40">
        <f>VLOOKUP(D672,[1]apoio_Preços_MGS!$A$6:$AN$238,30,FALSE)</f>
        <v>0</v>
      </c>
      <c r="Z672" s="40">
        <f t="shared" si="312"/>
        <v>44.339166666666664</v>
      </c>
      <c r="AA672" s="40">
        <f>VLOOKUP(D672,[1]apoio_Preços_MGS!$A$6:$AN$238,32,FALSE)</f>
        <v>4.605128928131502</v>
      </c>
      <c r="AB672" s="40">
        <f>VLOOKUP(D672,[1]apoio_Preços_MGS!$A$6:$AN$238,33,FALSE)</f>
        <v>204.37744084682441</v>
      </c>
      <c r="AC672" s="41">
        <f>VLOOKUP(D672,[1]apoio_Preços_MGS!$A$6:$AN$238,34,FALSE)</f>
        <v>3.2573876101994526E-2</v>
      </c>
      <c r="AD672" s="40">
        <f>(U672+W672+Z672+AB672+AA672+VLOOKUP(C672,[1]apoio_Prec_Folha!$A:$S,7,FALSE))*AC672</f>
        <v>170.26179987189315</v>
      </c>
      <c r="AE672" s="42">
        <f>VLOOKUP(D672,[1]apoio_Preços_MGS!$A$6:$AN$238,36,FALSE)</f>
        <v>7.0000000000000007E-2</v>
      </c>
      <c r="AF672" s="40">
        <f>(U672+W672+Z672+AB672+AD672+AA672+VLOOKUP(C672,[1]apoio_Prec_Folha!$A:$S,7,FALSE))*AE672</f>
        <v>377.8043493096622</v>
      </c>
      <c r="AG672" s="40">
        <f t="shared" si="313"/>
        <v>5161.8599999999997</v>
      </c>
      <c r="AH672" s="43">
        <f t="shared" si="314"/>
        <v>6019.65</v>
      </c>
      <c r="AI672" s="43">
        <f t="shared" si="315"/>
        <v>517689.89999999997</v>
      </c>
      <c r="AJ672" s="43">
        <f t="shared" si="316"/>
        <v>31061393.999999996</v>
      </c>
      <c r="AK672" s="44">
        <f>VLOOKUP(D672,[1]apoio_Preços_MGS!$A$6:$AN$238,39,FALSE)</f>
        <v>136.36363636363637</v>
      </c>
      <c r="AL672" s="44">
        <f>IF(J672="demais municípios",VLOOKUP(D672,[1]apoio_Preços_MGS!$A$6:$AN$238,39,FALSE),0)</f>
        <v>0</v>
      </c>
      <c r="AM672" s="44">
        <v>0</v>
      </c>
      <c r="AN672" s="45">
        <f t="shared" si="336"/>
        <v>0</v>
      </c>
      <c r="AO672" s="44">
        <f>VLOOKUP(D672,[1]apoio_Preços_MGS!$A$6:$AN$238,40,FALSE)</f>
        <v>613.14</v>
      </c>
      <c r="AP672" s="44">
        <f>IF(J672="demais municípios",VLOOKUP(D672,[1]apoio_Preços_MGS!$A$6:$AN$238,40,FALSE),0)</f>
        <v>0</v>
      </c>
      <c r="AQ672" s="44">
        <f>TRUNC(ROUND(($I672)/(1-($I672)),5)*VLOOKUP(D672,[1]apoio_Preços_MGS!$A$6:$AN$238,40,FALSE)+VLOOKUP(D672,[1]apoio_Preços_MGS!$A$6:$AN$238,40,FALSE),2)</f>
        <v>645.4</v>
      </c>
      <c r="AR672" s="45">
        <f t="shared" si="337"/>
        <v>55504.4</v>
      </c>
      <c r="AS672" s="45">
        <f t="shared" si="333"/>
        <v>55504.4</v>
      </c>
      <c r="AT672" s="45">
        <f t="shared" si="335"/>
        <v>3330264</v>
      </c>
      <c r="AU672" s="62"/>
      <c r="AV672" s="46"/>
      <c r="AW672" s="47"/>
      <c r="AX672" s="48"/>
      <c r="AY672" s="49"/>
      <c r="BA672" s="48"/>
    </row>
    <row r="673" spans="1:53" ht="19.5" customHeight="1" x14ac:dyDescent="0.25">
      <c r="A673" s="33" t="str">
        <f t="shared" si="331"/>
        <v>64297360,05</v>
      </c>
      <c r="B673" s="33" t="str">
        <f t="shared" si="332"/>
        <v>280,05</v>
      </c>
      <c r="C673" s="34" t="str">
        <f>VLOOKUP(D673,[1]apoio_Preços_MGS!$A$6:$B$238,2,FALSE)</f>
        <v>TELEFONISTA</v>
      </c>
      <c r="D673" s="35">
        <v>28</v>
      </c>
      <c r="E673" s="33" t="str">
        <f>VLOOKUP(D673,[1]apoio_Preços_MGS!$A$6:$F$238,6,FALSE)</f>
        <v>TELEFONISTA - DIARISTA DIURNO - 36H</v>
      </c>
      <c r="F673" s="36">
        <f>IFERROR(VLOOKUP(D673,'[1]apoio_cód catmas'!$B$2:$C$863,2,FALSE),0)</f>
        <v>64297</v>
      </c>
      <c r="G673" s="33" t="str">
        <f>IF(H673="N/A",VLOOKUP(F673&amp;40,'[1]apoio_cód catmas'!$A$1:$G$233,4,FALSE),VLOOKUP(F673&amp;H673,'[1]apoio_cód catmas'!$A$1:$G$233,4,FALSE))</f>
        <v>TELEFONISTA - 36H</v>
      </c>
      <c r="H673" s="36">
        <v>36</v>
      </c>
      <c r="I673" s="37">
        <v>0.05</v>
      </c>
      <c r="J673" s="38" t="s">
        <v>47</v>
      </c>
      <c r="K673" s="39">
        <v>8</v>
      </c>
      <c r="L673" s="39">
        <f t="shared" si="334"/>
        <v>480</v>
      </c>
      <c r="M673" s="40">
        <f>VLOOKUP(D673,[1]apoio_Preços_MGS!$A$6:$AN$238,18,FALSE)</f>
        <v>2878.205580082189</v>
      </c>
      <c r="N673" s="40">
        <f>VLOOKUP(D673,[1]apoio_Preços_MGS!$A$6:$AN$238,19,FALSE)</f>
        <v>0</v>
      </c>
      <c r="O673" s="40">
        <f>VLOOKUP(D673,[1]apoio_Preços_MGS!$A$6:$AN$238,20,FALSE)</f>
        <v>0</v>
      </c>
      <c r="P673" s="40">
        <f>VLOOKUP(D673,[1]apoio_Preços_MGS!$A$6:$AN$238,21,FALSE)</f>
        <v>0</v>
      </c>
      <c r="Q673" s="40">
        <f>VLOOKUP(D673,[1]apoio_Preços_MGS!$A$6:$AN$238,22,FALSE)</f>
        <v>0</v>
      </c>
      <c r="R673" s="40">
        <f>VLOOKUP(D673,[1]apoio_Preços_MGS!$A$6:$AN$238,23,FALSE)</f>
        <v>0</v>
      </c>
      <c r="S673" s="40">
        <f>VLOOKUP(D673,[1]apoio_Preços_MGS!$A$6:$AN$238,24,FALSE)</f>
        <v>0</v>
      </c>
      <c r="T673" s="40">
        <f>VLOOKUP(D673,[1]apoio_Preços_MGS!$A$6:$AN$238,25,FALSE)</f>
        <v>0</v>
      </c>
      <c r="U673" s="40">
        <f t="shared" si="340"/>
        <v>2878.205580082189</v>
      </c>
      <c r="V673" s="41">
        <v>0.81799999999999995</v>
      </c>
      <c r="W673" s="40">
        <f t="shared" si="341"/>
        <v>2354.3721645072305</v>
      </c>
      <c r="X673" s="40">
        <f>VLOOKUP(D673,[1]apoio_Preços_MGS!$A$6:$AN$238,29,FALSE)</f>
        <v>44.339166666666664</v>
      </c>
      <c r="Y673" s="40">
        <f>VLOOKUP(D673,[1]apoio_Preços_MGS!$A$6:$AN$238,30,FALSE)</f>
        <v>0</v>
      </c>
      <c r="Z673" s="40">
        <f t="shared" si="312"/>
        <v>44.339166666666664</v>
      </c>
      <c r="AA673" s="40">
        <f>VLOOKUP(D673,[1]apoio_Preços_MGS!$A$6:$AN$238,32,FALSE)</f>
        <v>5.5261547137578022</v>
      </c>
      <c r="AB673" s="40">
        <f>VLOOKUP(D673,[1]apoio_Preços_MGS!$A$6:$AN$238,33,FALSE)</f>
        <v>183.81386052303858</v>
      </c>
      <c r="AC673" s="41">
        <f>VLOOKUP(D673,[1]apoio_Preços_MGS!$A$6:$AN$238,34,FALSE)</f>
        <v>3.2573876101994526E-2</v>
      </c>
      <c r="AD673" s="40">
        <f>(U673+W673+Z673+AB673+AA673+VLOOKUP(C673,[1]apoio_Prec_Folha!$A:$S,7,FALSE))*AC673</f>
        <v>198.02952225842549</v>
      </c>
      <c r="AE673" s="42">
        <f>VLOOKUP(D673,[1]apoio_Preços_MGS!$A$6:$AN$238,36,FALSE)</f>
        <v>7.0000000000000007E-2</v>
      </c>
      <c r="AF673" s="40">
        <f>(U673+W673+Z673+AB673+AD673+AA673+VLOOKUP(C673,[1]apoio_Prec_Folha!$A:$S,7,FALSE))*AE673</f>
        <v>439.41985141259164</v>
      </c>
      <c r="AG673" s="40">
        <f t="shared" si="313"/>
        <v>6103.7</v>
      </c>
      <c r="AH673" s="43">
        <f t="shared" si="314"/>
        <v>7118.01</v>
      </c>
      <c r="AI673" s="43">
        <f t="shared" si="315"/>
        <v>56944.08</v>
      </c>
      <c r="AJ673" s="43">
        <f t="shared" si="316"/>
        <v>3416644.8000000003</v>
      </c>
      <c r="AK673" s="44">
        <f>VLOOKUP(D673,[1]apoio_Preços_MGS!$A$6:$AN$238,39,FALSE)</f>
        <v>163.63636363636365</v>
      </c>
      <c r="AL673" s="44">
        <f>IF(J673="demais municípios",VLOOKUP(D673,[1]apoio_Preços_MGS!$A$6:$AN$238,39,FALSE),0)</f>
        <v>0</v>
      </c>
      <c r="AM673" s="44">
        <v>0</v>
      </c>
      <c r="AN673" s="45">
        <f t="shared" si="336"/>
        <v>0</v>
      </c>
      <c r="AO673" s="44">
        <f>VLOOKUP(D673,[1]apoio_Preços_MGS!$A$6:$AN$238,40,FALSE)</f>
        <v>724.62</v>
      </c>
      <c r="AP673" s="44">
        <f>IF(J673="demais municípios",VLOOKUP(D673,[1]apoio_Preços_MGS!$A$6:$AN$238,40,FALSE),0)</f>
        <v>0</v>
      </c>
      <c r="AQ673" s="44">
        <f>TRUNC(ROUND(($I673)/(1-($I673)),5)*VLOOKUP(D673,[1]apoio_Preços_MGS!$A$6:$AN$238,40,FALSE)+VLOOKUP(D673,[1]apoio_Preços_MGS!$A$6:$AN$238,40,FALSE),2)</f>
        <v>762.75</v>
      </c>
      <c r="AR673" s="45">
        <f t="shared" si="337"/>
        <v>6102</v>
      </c>
      <c r="AS673" s="45">
        <f t="shared" si="333"/>
        <v>6102</v>
      </c>
      <c r="AT673" s="45">
        <f t="shared" si="335"/>
        <v>366120</v>
      </c>
      <c r="AU673" s="62"/>
      <c r="AV673" s="46"/>
      <c r="AW673" s="47"/>
      <c r="AX673" s="48"/>
      <c r="AY673" s="49"/>
      <c r="BA673" s="48"/>
    </row>
    <row r="674" spans="1:53" ht="19.5" customHeight="1" x14ac:dyDescent="0.25">
      <c r="A674" s="33" t="str">
        <f t="shared" si="331"/>
        <v>100463440,038</v>
      </c>
      <c r="B674" s="33" t="str">
        <f t="shared" si="332"/>
        <v>11990,038</v>
      </c>
      <c r="C674" s="34" t="str">
        <f>VLOOKUP(D674,[1]apoio_Preços_MGS!$A$6:$B$238,2,FALSE)</f>
        <v>TRABALHADOR AGRÍCOLA</v>
      </c>
      <c r="D674" s="35">
        <v>1199</v>
      </c>
      <c r="E674" s="33" t="str">
        <f>VLOOKUP(D674,[1]apoio_Preços_MGS!$A$6:$F$238,6,FALSE)</f>
        <v>TRABALHADOR AGRÍCOLA - DIARISTA DIURNO - 44H</v>
      </c>
      <c r="F674" s="36">
        <f>IFERROR(VLOOKUP(D674,'[1]apoio_cód catmas'!$B$2:$C$863,2,FALSE),0)</f>
        <v>100463</v>
      </c>
      <c r="G674" s="33" t="str">
        <f>IF(H674="N/A",VLOOKUP(F674&amp;40,'[1]apoio_cód catmas'!$A$1:$G$233,4,FALSE),VLOOKUP(F674&amp;H674,'[1]apoio_cód catmas'!$A$1:$G$233,4,FALSE))</f>
        <v>TRABALHADOR AGRICOLA  - 40H OU 44H</v>
      </c>
      <c r="H674" s="36">
        <v>44</v>
      </c>
      <c r="I674" s="37">
        <v>3.7999999999999999E-2</v>
      </c>
      <c r="J674" s="38" t="s">
        <v>46</v>
      </c>
      <c r="K674" s="39">
        <v>2</v>
      </c>
      <c r="L674" s="39">
        <f t="shared" si="334"/>
        <v>120</v>
      </c>
      <c r="M674" s="40">
        <f>VLOOKUP(D674,[1]apoio_Preços_MGS!$A$6:$AN$238,18,FALSE)</f>
        <v>2462.9724500000002</v>
      </c>
      <c r="N674" s="40">
        <f>VLOOKUP(D674,[1]apoio_Preços_MGS!$A$6:$AN$238,19,FALSE)</f>
        <v>0</v>
      </c>
      <c r="O674" s="40">
        <f>VLOOKUP(D674,[1]apoio_Preços_MGS!$A$6:$AN$238,20,FALSE)</f>
        <v>0</v>
      </c>
      <c r="P674" s="40">
        <f>VLOOKUP(D674,[1]apoio_Preços_MGS!$A$6:$AN$238,21,FALSE)</f>
        <v>0</v>
      </c>
      <c r="Q674" s="40">
        <f>VLOOKUP(D674,[1]apoio_Preços_MGS!$A$6:$AN$238,22,FALSE)</f>
        <v>0</v>
      </c>
      <c r="R674" s="40">
        <f>VLOOKUP(D674,[1]apoio_Preços_MGS!$A$6:$AN$238,23,FALSE)</f>
        <v>0</v>
      </c>
      <c r="S674" s="40">
        <f>VLOOKUP(D674,[1]apoio_Preços_MGS!$A$6:$AN$238,24,FALSE)</f>
        <v>0</v>
      </c>
      <c r="T674" s="40">
        <f>VLOOKUP(D674,[1]apoio_Preços_MGS!$A$6:$AN$238,25,FALSE)</f>
        <v>0</v>
      </c>
      <c r="U674" s="40">
        <f t="shared" si="340"/>
        <v>2462.9724500000002</v>
      </c>
      <c r="V674" s="41">
        <v>0.81799999999999995</v>
      </c>
      <c r="W674" s="40">
        <f t="shared" si="341"/>
        <v>2014.7114641000001</v>
      </c>
      <c r="X674" s="40">
        <f>VLOOKUP(D674,[1]apoio_Preços_MGS!$A$6:$AN$238,29,FALSE)</f>
        <v>31.89</v>
      </c>
      <c r="Y674" s="40">
        <f>VLOOKUP(D674,[1]apoio_Preços_MGS!$A$6:$AN$238,30,FALSE)</f>
        <v>75.36969696969696</v>
      </c>
      <c r="Z674" s="40">
        <f t="shared" si="312"/>
        <v>107.25969696969696</v>
      </c>
      <c r="AA674" s="40">
        <f>VLOOKUP(D674,[1]apoio_Preços_MGS!$A$6:$AN$238,32,FALSE)</f>
        <v>4.7289071040000001</v>
      </c>
      <c r="AB674" s="40">
        <f>VLOOKUP(D674,[1]apoio_Preços_MGS!$A$6:$AN$238,33,FALSE)</f>
        <v>63.055000000000007</v>
      </c>
      <c r="AC674" s="41">
        <f>VLOOKUP(D674,[1]apoio_Preços_MGS!$A$6:$AN$238,34,FALSE)</f>
        <v>0</v>
      </c>
      <c r="AD674" s="40">
        <f>(U674+W674+Z674+AB674+AA674+VLOOKUP(C674,[1]apoio_Prec_Folha!$A:$S,7,FALSE))*AC674</f>
        <v>0</v>
      </c>
      <c r="AE674" s="42">
        <f>VLOOKUP(D674,[1]apoio_Preços_MGS!$A$6:$AN$238,36,FALSE)</f>
        <v>7.0000000000000007E-2</v>
      </c>
      <c r="AF674" s="40">
        <f>(U674+W674+Z674+AB674+AD674+AA674+VLOOKUP(C674,[1]apoio_Prec_Folha!$A:$S,7,FALSE))*AE674</f>
        <v>364.30152627215887</v>
      </c>
      <c r="AG674" s="40">
        <f t="shared" si="313"/>
        <v>5017.0200000000004</v>
      </c>
      <c r="AH674" s="43">
        <f t="shared" si="314"/>
        <v>5770.02</v>
      </c>
      <c r="AI674" s="43">
        <f t="shared" si="315"/>
        <v>11540.04</v>
      </c>
      <c r="AJ674" s="43">
        <f t="shared" si="316"/>
        <v>692402.4</v>
      </c>
      <c r="AK674" s="44">
        <f>VLOOKUP(D674,[1]apoio_Preços_MGS!$A$6:$AN$238,39,FALSE)</f>
        <v>200.00000000000003</v>
      </c>
      <c r="AL674" s="44">
        <f>IF(J674="demais municípios",VLOOKUP(D674,[1]apoio_Preços_MGS!$A$6:$AN$238,39,FALSE),0)</f>
        <v>200.00000000000003</v>
      </c>
      <c r="AM674" s="44">
        <v>0</v>
      </c>
      <c r="AN674" s="45">
        <f t="shared" ref="AN674:AN676" si="344">AK674*K674</f>
        <v>400.00000000000006</v>
      </c>
      <c r="AO674" s="44">
        <f>VLOOKUP(D674,[1]apoio_Preços_MGS!$A$6:$AN$238,40,FALSE)</f>
        <v>551.58000000000004</v>
      </c>
      <c r="AP674" s="44">
        <f>IF(J674="demais municípios",VLOOKUP(D674,[1]apoio_Preços_MGS!$A$6:$AN$238,40,FALSE),0)</f>
        <v>551.58000000000004</v>
      </c>
      <c r="AQ674" s="44">
        <v>0</v>
      </c>
      <c r="AR674" s="45">
        <f t="shared" ref="AR674:AR676" si="345">AO674*K674</f>
        <v>1103.1600000000001</v>
      </c>
      <c r="AS674" s="45">
        <f t="shared" si="333"/>
        <v>1503.16</v>
      </c>
      <c r="AT674" s="45">
        <f t="shared" si="335"/>
        <v>90189.6</v>
      </c>
      <c r="AU674" s="62"/>
      <c r="AV674" s="46"/>
      <c r="AW674" s="47"/>
      <c r="AX674" s="48"/>
      <c r="AY674" s="49"/>
      <c r="BA674" s="48"/>
    </row>
    <row r="675" spans="1:53" ht="19.5" customHeight="1" x14ac:dyDescent="0.25">
      <c r="A675" s="33" t="str">
        <f t="shared" si="331"/>
        <v>146684400,03</v>
      </c>
      <c r="B675" s="33" t="str">
        <f t="shared" si="332"/>
        <v>19090,03</v>
      </c>
      <c r="C675" s="34" t="str">
        <f>VLOOKUP(D675,[1]apoio_Preços_MGS!$A$6:$B$238,2,FALSE)</f>
        <v>TRABALHADOR AGRÍCOLA</v>
      </c>
      <c r="D675" s="35">
        <v>1909</v>
      </c>
      <c r="E675" s="33" t="str">
        <f>VLOOKUP(D675,[1]apoio_Preços_MGS!$A$6:$F$238,6,FALSE)</f>
        <v>TRABALHADOR AGRÍCOLA - (PERIC.) - DIARISTA DIURNO - 40H</v>
      </c>
      <c r="F675" s="36">
        <f>IFERROR(VLOOKUP(D675,'[1]apoio_cód catmas'!$B$2:$C$863,2,FALSE),0)</f>
        <v>146684</v>
      </c>
      <c r="G675" s="33" t="str">
        <f>IF(H675="N/A",VLOOKUP(F675&amp;40,'[1]apoio_cód catmas'!$A$1:$G$233,4,FALSE),VLOOKUP(F675&amp;H675,'[1]apoio_cód catmas'!$A$1:$G$233,4,FALSE))</f>
        <v>TRABALHADOR AGRICOLA (PERICULOSIDADE) - 40H OU 44H</v>
      </c>
      <c r="H675" s="36">
        <v>40</v>
      </c>
      <c r="I675" s="37">
        <v>0.03</v>
      </c>
      <c r="J675" s="38" t="s">
        <v>46</v>
      </c>
      <c r="K675" s="39">
        <v>2</v>
      </c>
      <c r="L675" s="39">
        <f t="shared" si="334"/>
        <v>120</v>
      </c>
      <c r="M675" s="40">
        <f>VLOOKUP(D675,[1]apoio_Preços_MGS!$A$6:$AN$238,18,FALSE)</f>
        <v>2239.0658636363642</v>
      </c>
      <c r="N675" s="40">
        <f>VLOOKUP(D675,[1]apoio_Preços_MGS!$A$6:$AN$238,19,FALSE)</f>
        <v>671.71975909090918</v>
      </c>
      <c r="O675" s="40">
        <f>VLOOKUP(D675,[1]apoio_Preços_MGS!$A$6:$AN$238,20,FALSE)</f>
        <v>0</v>
      </c>
      <c r="P675" s="40">
        <f>VLOOKUP(D675,[1]apoio_Preços_MGS!$A$6:$AN$238,21,FALSE)</f>
        <v>0</v>
      </c>
      <c r="Q675" s="40">
        <f>VLOOKUP(D675,[1]apoio_Preços_MGS!$A$6:$AN$238,22,FALSE)</f>
        <v>0</v>
      </c>
      <c r="R675" s="40">
        <f>VLOOKUP(D675,[1]apoio_Preços_MGS!$A$6:$AN$238,23,FALSE)</f>
        <v>0</v>
      </c>
      <c r="S675" s="40">
        <f>VLOOKUP(D675,[1]apoio_Preços_MGS!$A$6:$AN$238,24,FALSE)</f>
        <v>0</v>
      </c>
      <c r="T675" s="40">
        <f>VLOOKUP(D675,[1]apoio_Preços_MGS!$A$6:$AN$238,25,FALSE)</f>
        <v>0</v>
      </c>
      <c r="U675" s="40">
        <f t="shared" si="340"/>
        <v>2910.7856227272732</v>
      </c>
      <c r="V675" s="41">
        <v>0.81799999999999995</v>
      </c>
      <c r="W675" s="40">
        <f t="shared" si="341"/>
        <v>2381.0226393909093</v>
      </c>
      <c r="X675" s="40">
        <f>VLOOKUP(D675,[1]apoio_Preços_MGS!$A$6:$AN$238,29,FALSE)</f>
        <v>31.89</v>
      </c>
      <c r="Y675" s="40">
        <f>VLOOKUP(D675,[1]apoio_Preços_MGS!$A$6:$AN$238,30,FALSE)</f>
        <v>75.36969696969696</v>
      </c>
      <c r="Z675" s="40">
        <f t="shared" ref="Z675:Z728" si="346">Y675+X675</f>
        <v>107.25969696969696</v>
      </c>
      <c r="AA675" s="40">
        <f>VLOOKUP(D675,[1]apoio_Preços_MGS!$A$6:$AN$238,32,FALSE)</f>
        <v>4.299006458181819</v>
      </c>
      <c r="AB675" s="40">
        <f>VLOOKUP(D675,[1]apoio_Preços_MGS!$A$6:$AN$238,33,FALSE)</f>
        <v>69.822727272727278</v>
      </c>
      <c r="AC675" s="41">
        <f>VLOOKUP(D675,[1]apoio_Preços_MGS!$A$6:$AN$238,34,FALSE)</f>
        <v>0</v>
      </c>
      <c r="AD675" s="40">
        <f>(U675+W675+Z675+AB675+AA675+VLOOKUP(C675,[1]apoio_Prec_Folha!$A:$S,7,FALSE))*AC675</f>
        <v>0</v>
      </c>
      <c r="AE675" s="42">
        <f>VLOOKUP(D675,[1]apoio_Preços_MGS!$A$6:$AN$238,36,FALSE)</f>
        <v>7.0000000000000007E-2</v>
      </c>
      <c r="AF675" s="40">
        <f>(U675+W675+Z675+AB675+AD675+AA675+VLOOKUP(C675,[1]apoio_Prec_Folha!$A:$S,7,FALSE))*AE675</f>
        <v>421.73387849731517</v>
      </c>
      <c r="AG675" s="40">
        <f t="shared" ref="AG675:AG728" si="347">TRUNC(U675+W675+Z675+AB675+AA675+AD675+AF675,2)</f>
        <v>5894.92</v>
      </c>
      <c r="AH675" s="43">
        <f t="shared" ref="AH675:AH728" si="348">TRUNC($AG675*ROUND((7.6%+1.65%+$I675)/(1-(7.6%+1.65%+$I675)),5)+$AG675,2)</f>
        <v>6717.85</v>
      </c>
      <c r="AI675" s="43">
        <f t="shared" ref="AI675:AI728" si="349">AH675*K675</f>
        <v>13435.7</v>
      </c>
      <c r="AJ675" s="43">
        <f t="shared" ref="AJ675:AJ728" si="350">AH675*L675</f>
        <v>806142</v>
      </c>
      <c r="AK675" s="44">
        <f>VLOOKUP(D675,[1]apoio_Preços_MGS!$A$6:$AN$238,39,FALSE)</f>
        <v>181.81818181818184</v>
      </c>
      <c r="AL675" s="44">
        <f>IF(J675="demais municípios",VLOOKUP(D675,[1]apoio_Preços_MGS!$A$6:$AN$238,39,FALSE),0)</f>
        <v>181.81818181818184</v>
      </c>
      <c r="AM675" s="44">
        <v>0</v>
      </c>
      <c r="AN675" s="45">
        <f t="shared" si="344"/>
        <v>363.63636363636368</v>
      </c>
      <c r="AO675" s="44">
        <f>VLOOKUP(D675,[1]apoio_Preços_MGS!$A$6:$AN$238,40,FALSE)</f>
        <v>551.58000000000004</v>
      </c>
      <c r="AP675" s="44">
        <f>IF(J675="demais municípios",VLOOKUP(D675,[1]apoio_Preços_MGS!$A$6:$AN$238,40,FALSE),0)</f>
        <v>551.58000000000004</v>
      </c>
      <c r="AQ675" s="44">
        <v>0</v>
      </c>
      <c r="AR675" s="45">
        <f t="shared" si="345"/>
        <v>1103.1600000000001</v>
      </c>
      <c r="AS675" s="45">
        <f t="shared" si="333"/>
        <v>1466.7963636363638</v>
      </c>
      <c r="AT675" s="45">
        <f t="shared" si="335"/>
        <v>88007.781818181829</v>
      </c>
      <c r="AU675" s="62"/>
      <c r="AV675" s="46"/>
      <c r="AW675" s="47"/>
      <c r="AX675" s="48"/>
      <c r="AY675" s="49"/>
      <c r="BA675" s="48"/>
    </row>
    <row r="676" spans="1:53" ht="19.5" customHeight="1" x14ac:dyDescent="0.25">
      <c r="A676" s="33" t="str">
        <f t="shared" si="331"/>
        <v>100463400,038</v>
      </c>
      <c r="B676" s="33" t="str">
        <f t="shared" si="332"/>
        <v>19100,038</v>
      </c>
      <c r="C676" s="34" t="str">
        <f>VLOOKUP(D676,[1]apoio_Preços_MGS!$A$6:$B$238,2,FALSE)</f>
        <v>TRABALHADOR AGRÍCOLA</v>
      </c>
      <c r="D676" s="35">
        <v>1910</v>
      </c>
      <c r="E676" s="33" t="str">
        <f>VLOOKUP(D676,[1]apoio_Preços_MGS!$A$6:$F$238,6,FALSE)</f>
        <v>TRABALHADOR AGRÍCOLA - DIARISTA DIURNO - 40H</v>
      </c>
      <c r="F676" s="36">
        <f>IFERROR(VLOOKUP(D676,'[1]apoio_cód catmas'!$B$2:$C$863,2,FALSE),0)</f>
        <v>100463</v>
      </c>
      <c r="G676" s="33" t="str">
        <f>IF(H676="N/A",VLOOKUP(F676&amp;40,'[1]apoio_cód catmas'!$A$1:$G$233,4,FALSE),VLOOKUP(F676&amp;H676,'[1]apoio_cód catmas'!$A$1:$G$233,4,FALSE))</f>
        <v>TRABALHADOR AGRICOLA  - 40H OU 44H</v>
      </c>
      <c r="H676" s="36">
        <v>40</v>
      </c>
      <c r="I676" s="37">
        <v>3.7999999999999999E-2</v>
      </c>
      <c r="J676" s="38" t="s">
        <v>46</v>
      </c>
      <c r="K676" s="39">
        <v>6</v>
      </c>
      <c r="L676" s="39">
        <f t="shared" si="334"/>
        <v>360</v>
      </c>
      <c r="M676" s="40">
        <f>VLOOKUP(D676,[1]apoio_Preços_MGS!$A$6:$AN$238,18,FALSE)</f>
        <v>2239.0658636363642</v>
      </c>
      <c r="N676" s="40">
        <f>VLOOKUP(D676,[1]apoio_Preços_MGS!$A$6:$AN$238,19,FALSE)</f>
        <v>0</v>
      </c>
      <c r="O676" s="40">
        <f>VLOOKUP(D676,[1]apoio_Preços_MGS!$A$6:$AN$238,20,FALSE)</f>
        <v>0</v>
      </c>
      <c r="P676" s="40">
        <f>VLOOKUP(D676,[1]apoio_Preços_MGS!$A$6:$AN$238,21,FALSE)</f>
        <v>0</v>
      </c>
      <c r="Q676" s="40">
        <f>VLOOKUP(D676,[1]apoio_Preços_MGS!$A$6:$AN$238,22,FALSE)</f>
        <v>0</v>
      </c>
      <c r="R676" s="40">
        <f>VLOOKUP(D676,[1]apoio_Preços_MGS!$A$6:$AN$238,23,FALSE)</f>
        <v>0</v>
      </c>
      <c r="S676" s="40">
        <f>VLOOKUP(D676,[1]apoio_Preços_MGS!$A$6:$AN$238,24,FALSE)</f>
        <v>0</v>
      </c>
      <c r="T676" s="40">
        <f>VLOOKUP(D676,[1]apoio_Preços_MGS!$A$6:$AN$238,25,FALSE)</f>
        <v>0</v>
      </c>
      <c r="U676" s="40">
        <f>SUM(M676:T676)</f>
        <v>2239.0658636363642</v>
      </c>
      <c r="V676" s="41">
        <f>VLOOKUP(D676,[1]apoio_Preços_MGS!$A$6:$AN$238,27,FALSE)</f>
        <v>0.81799999999999995</v>
      </c>
      <c r="W676" s="40">
        <f>U676*V676</f>
        <v>1831.5558764545458</v>
      </c>
      <c r="X676" s="40">
        <f>VLOOKUP(D676,[1]apoio_Preços_MGS!$A$6:$AN$238,29,FALSE)</f>
        <v>31.89</v>
      </c>
      <c r="Y676" s="40">
        <f>VLOOKUP(D676,[1]apoio_Preços_MGS!$A$6:$AN$238,30,FALSE)</f>
        <v>75.36969696969696</v>
      </c>
      <c r="Z676" s="40">
        <f>Y676+X676</f>
        <v>107.25969696969696</v>
      </c>
      <c r="AA676" s="40">
        <f>VLOOKUP(D676,[1]apoio_Preços_MGS!$A$6:$AN$238,32,FALSE)</f>
        <v>4.299006458181819</v>
      </c>
      <c r="AB676" s="40">
        <f>VLOOKUP(D676,[1]apoio_Preços_MGS!$A$6:$AN$238,33,FALSE)</f>
        <v>69.822727272727278</v>
      </c>
      <c r="AC676" s="41">
        <f>VLOOKUP(D676,[1]apoio_Preços_MGS!$A$6:$AN$238,34,FALSE)</f>
        <v>0</v>
      </c>
      <c r="AD676" s="40">
        <f>(U676+W676+Z676+AB676+AA676+VLOOKUP(C676,[1]apoio_Prec_Folha!$A:$S,7,FALSE))*AC676</f>
        <v>0</v>
      </c>
      <c r="AE676" s="42">
        <f>VLOOKUP(D676,[1]apoio_Preços_MGS!$A$6:$AN$238,36,FALSE)</f>
        <v>7.0000000000000007E-2</v>
      </c>
      <c r="AF676" s="40">
        <f>(U676+W676+Z676+AB676+AD676+AA676+VLOOKUP(C676,[1]apoio_Prec_Folha!$A:$S,7,FALSE))*AE676</f>
        <v>336.25082195540614</v>
      </c>
      <c r="AG676" s="40">
        <f>TRUNC(U676+W676+Z676+AB676+AA676+AD676+AF676,2)</f>
        <v>4588.25</v>
      </c>
      <c r="AH676" s="43">
        <f>TRUNC($AG676*ROUND((7.6%+1.65%+$I676)/(1-(7.6%+1.65%+$I676)),5)+$AG676,2)</f>
        <v>5276.9</v>
      </c>
      <c r="AI676" s="43">
        <f>AH676*K676</f>
        <v>31661.399999999998</v>
      </c>
      <c r="AJ676" s="43">
        <f>AH676*L676</f>
        <v>1899683.9999999998</v>
      </c>
      <c r="AK676" s="44">
        <f>VLOOKUP(D676,[1]apoio_Preços_MGS!$A$6:$AN$238,39,FALSE)</f>
        <v>181.81818181818184</v>
      </c>
      <c r="AL676" s="44">
        <f>IF(J676="demais municípios",VLOOKUP(D676,[1]apoio_Preços_MGS!$A$6:$AN$238,39,FALSE),0)</f>
        <v>181.81818181818184</v>
      </c>
      <c r="AM676" s="44">
        <v>0</v>
      </c>
      <c r="AN676" s="45">
        <f t="shared" si="344"/>
        <v>1090.909090909091</v>
      </c>
      <c r="AO676" s="44">
        <f>VLOOKUP(D676,[1]apoio_Preços_MGS!$A$6:$AN$238,40,FALSE)</f>
        <v>551.58000000000004</v>
      </c>
      <c r="AP676" s="44">
        <f>IF(J676="demais municípios",VLOOKUP(D676,[1]apoio_Preços_MGS!$A$6:$AN$238,40,FALSE),0)</f>
        <v>551.58000000000004</v>
      </c>
      <c r="AQ676" s="44">
        <v>0</v>
      </c>
      <c r="AR676" s="45">
        <f t="shared" si="345"/>
        <v>3309.4800000000005</v>
      </c>
      <c r="AS676" s="45">
        <f t="shared" si="333"/>
        <v>4400.3890909090915</v>
      </c>
      <c r="AT676" s="45">
        <f t="shared" si="335"/>
        <v>264023.34545454546</v>
      </c>
      <c r="AU676" s="62"/>
      <c r="AV676" s="46"/>
      <c r="AW676" s="47"/>
      <c r="AX676" s="48"/>
      <c r="AY676" s="49"/>
      <c r="BA676" s="48"/>
    </row>
    <row r="677" spans="1:53" ht="19.5" customHeight="1" x14ac:dyDescent="0.25">
      <c r="A677" s="33" t="str">
        <f t="shared" si="331"/>
        <v>65463400,05</v>
      </c>
      <c r="B677" s="33" t="str">
        <f t="shared" si="332"/>
        <v>3220,05</v>
      </c>
      <c r="C677" s="34" t="str">
        <f>VLOOKUP(D677,[1]apoio_Preços_MGS!$A$6:$B$238,2,FALSE)</f>
        <v>TRABALHADOR DA IMPRESSÃO GRÁFICA</v>
      </c>
      <c r="D677" s="35">
        <v>322</v>
      </c>
      <c r="E677" s="33" t="str">
        <f>VLOOKUP(D677,[1]apoio_Preços_MGS!$A$6:$F$238,6,FALSE)</f>
        <v>TRABALHADOR DA IMPRESSÃO GRÁFICA - DIARISTA DIURNO - 40H</v>
      </c>
      <c r="F677" s="36">
        <f>IFERROR(VLOOKUP(D677,'[1]apoio_cód catmas'!$B$2:$C$863,2,FALSE),0)</f>
        <v>65463</v>
      </c>
      <c r="G677" s="33" t="str">
        <f>IF(H677="N/A",VLOOKUP(F677&amp;40,'[1]apoio_cód catmas'!$A$1:$G$233,4,FALSE),VLOOKUP(F677&amp;H677,'[1]apoio_cód catmas'!$A$1:$G$233,4,FALSE))</f>
        <v>TRABALHADOR DA IMPRESSAO GRAFICA - 30H, 36H, 40H OU 44H</v>
      </c>
      <c r="H677" s="36">
        <v>40</v>
      </c>
      <c r="I677" s="37">
        <v>0.05</v>
      </c>
      <c r="J677" s="38" t="s">
        <v>47</v>
      </c>
      <c r="K677" s="39">
        <v>4</v>
      </c>
      <c r="L677" s="39">
        <f t="shared" si="334"/>
        <v>240</v>
      </c>
      <c r="M677" s="40">
        <f>VLOOKUP(D677,[1]apoio_Preços_MGS!$A$6:$AN$238,18,FALSE)</f>
        <v>2206.6632500000001</v>
      </c>
      <c r="N677" s="40">
        <f>VLOOKUP(D677,[1]apoio_Preços_MGS!$A$6:$AN$238,19,FALSE)</f>
        <v>0</v>
      </c>
      <c r="O677" s="40">
        <f>VLOOKUP(D677,[1]apoio_Preços_MGS!$A$6:$AN$238,20,FALSE)</f>
        <v>0</v>
      </c>
      <c r="P677" s="40">
        <f>VLOOKUP(D677,[1]apoio_Preços_MGS!$A$6:$AN$238,21,FALSE)</f>
        <v>0</v>
      </c>
      <c r="Q677" s="40">
        <f>VLOOKUP(D677,[1]apoio_Preços_MGS!$A$6:$AN$238,22,FALSE)</f>
        <v>0</v>
      </c>
      <c r="R677" s="40">
        <f>VLOOKUP(D677,[1]apoio_Preços_MGS!$A$6:$AN$238,23,FALSE)</f>
        <v>0</v>
      </c>
      <c r="S677" s="40">
        <f>VLOOKUP(D677,[1]apoio_Preços_MGS!$A$6:$AN$238,24,FALSE)</f>
        <v>0</v>
      </c>
      <c r="T677" s="40">
        <f>VLOOKUP(D677,[1]apoio_Preços_MGS!$A$6:$AN$238,25,FALSE)</f>
        <v>0</v>
      </c>
      <c r="U677" s="40">
        <f t="shared" si="340"/>
        <v>2206.6632500000001</v>
      </c>
      <c r="V677" s="41">
        <v>0.81799999999999995</v>
      </c>
      <c r="W677" s="40">
        <f t="shared" si="341"/>
        <v>1805.0505384999999</v>
      </c>
      <c r="X677" s="40">
        <f>VLOOKUP(D677,[1]apoio_Preços_MGS!$A$6:$AN$238,29,FALSE)</f>
        <v>19.18</v>
      </c>
      <c r="Y677" s="40">
        <f>VLOOKUP(D677,[1]apoio_Preços_MGS!$A$6:$AN$238,30,FALSE)</f>
        <v>41.902727272727276</v>
      </c>
      <c r="Z677" s="40">
        <f t="shared" si="346"/>
        <v>61.082727272727276</v>
      </c>
      <c r="AA677" s="40">
        <f>VLOOKUP(D677,[1]apoio_Preços_MGS!$A$6:$AN$238,32,FALSE)</f>
        <v>4.2367934399999996</v>
      </c>
      <c r="AB677" s="40">
        <f>VLOOKUP(D677,[1]apoio_Preços_MGS!$A$6:$AN$238,33,FALSE)</f>
        <v>633.19999999999993</v>
      </c>
      <c r="AC677" s="41">
        <f>VLOOKUP(D677,[1]apoio_Preços_MGS!$A$6:$AN$238,34,FALSE)</f>
        <v>3.3024069406728827E-2</v>
      </c>
      <c r="AD677" s="40">
        <f>(U677+W677+Z677+AB677+AA677+VLOOKUP(C677,[1]apoio_Prec_Folha!$A:$S,7,FALSE))*AC677</f>
        <v>173.76648792869059</v>
      </c>
      <c r="AE677" s="42">
        <f>VLOOKUP(D677,[1]apoio_Preços_MGS!$A$6:$AN$238,36,FALSE)</f>
        <v>7.0000000000000007E-2</v>
      </c>
      <c r="AF677" s="40">
        <f>(U677+W677+Z677+AB677+AD677+AA677+VLOOKUP(C677,[1]apoio_Prec_Folha!$A:$S,7,FALSE))*AE677</f>
        <v>380.49058579989929</v>
      </c>
      <c r="AG677" s="40">
        <f t="shared" si="347"/>
        <v>5264.49</v>
      </c>
      <c r="AH677" s="43">
        <f t="shared" si="348"/>
        <v>6139.34</v>
      </c>
      <c r="AI677" s="43">
        <f t="shared" si="349"/>
        <v>24557.360000000001</v>
      </c>
      <c r="AJ677" s="43">
        <f t="shared" si="350"/>
        <v>1473441.6</v>
      </c>
      <c r="AK677" s="44">
        <f>VLOOKUP(D677,[1]apoio_Preços_MGS!$A$6:$AN$238,39,FALSE)</f>
        <v>181.81818181818184</v>
      </c>
      <c r="AL677" s="44">
        <f>IF(J677="demais municípios",VLOOKUP(D677,[1]apoio_Preços_MGS!$A$6:$AN$238,39,FALSE),0)</f>
        <v>0</v>
      </c>
      <c r="AM677" s="44">
        <f>TRUNC(ROUND(($I677)/(1-($I677)),5)*VLOOKUP(D677,[1]apoio_Preços_MGS!$A$6:$AN$238,39,FALSE)+VLOOKUP(D677,[1]apoio_Preços_MGS!$A$6:$AN$238,39,FALSE),2)</f>
        <v>191.38</v>
      </c>
      <c r="AN677" s="45">
        <f t="shared" si="336"/>
        <v>765.52</v>
      </c>
      <c r="AO677" s="44">
        <f>VLOOKUP(D677,[1]apoio_Preços_MGS!$A$6:$AN$238,40,FALSE)</f>
        <v>551.58000000000004</v>
      </c>
      <c r="AP677" s="44">
        <f>IF(J677="demais municípios",VLOOKUP(D677,[1]apoio_Preços_MGS!$A$6:$AN$238,40,FALSE),0)</f>
        <v>0</v>
      </c>
      <c r="AQ677" s="44">
        <f>TRUNC(ROUND(($I677)/(1-($I677)),5)*VLOOKUP(D677,[1]apoio_Preços_MGS!$A$6:$AN$238,40,FALSE)+VLOOKUP(D677,[1]apoio_Preços_MGS!$A$6:$AN$238,40,FALSE),2)</f>
        <v>580.6</v>
      </c>
      <c r="AR677" s="45">
        <f t="shared" si="337"/>
        <v>2322.4</v>
      </c>
      <c r="AS677" s="45">
        <f t="shared" si="333"/>
        <v>3087.92</v>
      </c>
      <c r="AT677" s="45">
        <f t="shared" si="335"/>
        <v>185275.2</v>
      </c>
      <c r="AU677" s="62"/>
      <c r="AV677" s="46"/>
      <c r="AW677" s="47"/>
      <c r="AX677" s="48"/>
      <c r="AY677" s="49"/>
      <c r="BA677" s="48"/>
    </row>
    <row r="678" spans="1:53" ht="19.5" customHeight="1" x14ac:dyDescent="0.25">
      <c r="A678" s="33" t="str">
        <f t="shared" si="331"/>
        <v>106259440,05</v>
      </c>
      <c r="B678" s="33" t="str">
        <f t="shared" si="332"/>
        <v>1310,05</v>
      </c>
      <c r="C678" s="34" t="str">
        <f>VLOOKUP(D678,[1]apoio_Preços_MGS!$A$6:$B$238,2,FALSE)</f>
        <v>TRABALHADOR DA MANUTENÇÃO PREDIAL E INSTALAÇÕES</v>
      </c>
      <c r="D678" s="35">
        <v>131</v>
      </c>
      <c r="E678" s="33" t="str">
        <f>VLOOKUP(D678,[1]apoio_Preços_MGS!$A$6:$F$238,6,FALSE)</f>
        <v>TRABALHADOR DA MANUTENÇÃO PREDIAL E INSTALAÇÕES - (PERIC.) - 12x36 NOTURNO - 44H</v>
      </c>
      <c r="F678" s="36">
        <f>IFERROR(VLOOKUP(D678,'[1]apoio_cód catmas'!$B$2:$C$863,2,FALSE),0)</f>
        <v>106259</v>
      </c>
      <c r="G678" s="33" t="str">
        <f>IF(H678="N/A",VLOOKUP(F678&amp;40,'[1]apoio_cód catmas'!$A$1:$G$233,4,FALSE),VLOOKUP(F678&amp;H678,'[1]apoio_cód catmas'!$A$1:$G$233,4,FALSE))</f>
        <v>TRABALHADOR DA MANUTENCAO  PREDIAL E  INSTALACOES - 12X36 NOTURNO (PERICULOSIDADE) - 44H</v>
      </c>
      <c r="H678" s="36">
        <v>44</v>
      </c>
      <c r="I678" s="37">
        <v>0.05</v>
      </c>
      <c r="J678" s="38" t="s">
        <v>47</v>
      </c>
      <c r="K678" s="39">
        <v>5</v>
      </c>
      <c r="L678" s="39">
        <f t="shared" si="334"/>
        <v>300</v>
      </c>
      <c r="M678" s="40">
        <f>VLOOKUP(D678,[1]apoio_Preços_MGS!$A$6:$AN$238,18,FALSE)</f>
        <v>2754.2495376098846</v>
      </c>
      <c r="N678" s="40">
        <f>VLOOKUP(D678,[1]apoio_Preços_MGS!$A$6:$AN$238,19,FALSE)</f>
        <v>826.27486128296539</v>
      </c>
      <c r="O678" s="40">
        <f>VLOOKUP(D678,[1]apoio_Preços_MGS!$A$6:$AN$238,20,FALSE)</f>
        <v>834.11702361189953</v>
      </c>
      <c r="P678" s="40">
        <f>VLOOKUP(D678,[1]apoio_Preços_MGS!$A$6:$AN$238,21,FALSE)</f>
        <v>18.207494022354176</v>
      </c>
      <c r="Q678" s="40">
        <f>VLOOKUP(D678,[1]apoio_Preços_MGS!$A$6:$AN$238,22,FALSE)</f>
        <v>68.27808210039737</v>
      </c>
      <c r="R678" s="40">
        <f>VLOOKUP(D678,[1]apoio_Preços_MGS!$A$6:$AN$238,23,FALSE)</f>
        <v>0</v>
      </c>
      <c r="S678" s="40">
        <f>VLOOKUP(D678,[1]apoio_Preços_MGS!$A$6:$AN$238,24,FALSE)</f>
        <v>0</v>
      </c>
      <c r="T678" s="40">
        <f>VLOOKUP(D678,[1]apoio_Preços_MGS!$A$6:$AN$238,25,FALSE)</f>
        <v>4.9729505540178476</v>
      </c>
      <c r="U678" s="40">
        <f t="shared" si="340"/>
        <v>4506.0999491815182</v>
      </c>
      <c r="V678" s="41">
        <v>0.81799999999999995</v>
      </c>
      <c r="W678" s="40">
        <f t="shared" si="341"/>
        <v>3685.9897584304817</v>
      </c>
      <c r="X678" s="40">
        <f>VLOOKUP(D678,[1]apoio_Preços_MGS!$A$6:$AN$238,29,FALSE)</f>
        <v>19.18</v>
      </c>
      <c r="Y678" s="40">
        <f>VLOOKUP(D678,[1]apoio_Preços_MGS!$A$6:$AN$238,30,FALSE)</f>
        <v>52.615447885447871</v>
      </c>
      <c r="Z678" s="40">
        <f t="shared" si="346"/>
        <v>71.795447885447871</v>
      </c>
      <c r="AA678" s="40">
        <f>VLOOKUP(D678,[1]apoio_Preços_MGS!$A$6:$AN$238,32,FALSE)</f>
        <v>5.2881591122109777</v>
      </c>
      <c r="AB678" s="40">
        <f>VLOOKUP(D678,[1]apoio_Preços_MGS!$A$6:$AN$238,33,FALSE)</f>
        <v>201.79439560439556</v>
      </c>
      <c r="AC678" s="41">
        <f>VLOOKUP(D678,[1]apoio_Preços_MGS!$A$6:$AN$238,34,FALSE)</f>
        <v>3.2904213048597905E-2</v>
      </c>
      <c r="AD678" s="40">
        <f>(U678+W678+Z678+AB678+AA678+VLOOKUP(C678,[1]apoio_Prec_Folha!$A:$S,7,FALSE))*AC678</f>
        <v>296.79983870183855</v>
      </c>
      <c r="AE678" s="42">
        <f>VLOOKUP(D678,[1]apoio_Preços_MGS!$A$6:$AN$238,36,FALSE)</f>
        <v>7.0000000000000007E-2</v>
      </c>
      <c r="AF678" s="40">
        <f>(U678+W678+Z678+AB678+AD678+AA678+VLOOKUP(C678,[1]apoio_Prec_Folha!$A:$S,7,FALSE))*AE678</f>
        <v>652.18415150103579</v>
      </c>
      <c r="AG678" s="40">
        <f t="shared" si="347"/>
        <v>9419.9500000000007</v>
      </c>
      <c r="AH678" s="43">
        <f t="shared" si="348"/>
        <v>10985.35</v>
      </c>
      <c r="AI678" s="43">
        <f t="shared" si="349"/>
        <v>54926.75</v>
      </c>
      <c r="AJ678" s="43">
        <f t="shared" si="350"/>
        <v>3295605</v>
      </c>
      <c r="AK678" s="44">
        <f>VLOOKUP(D678,[1]apoio_Preços_MGS!$A$6:$AN$238,39,FALSE)</f>
        <v>200.00000000000003</v>
      </c>
      <c r="AL678" s="44">
        <f>IF(J678="demais municípios",VLOOKUP(D678,[1]apoio_Preços_MGS!$A$6:$AN$238,39,FALSE),0)</f>
        <v>0</v>
      </c>
      <c r="AM678" s="44">
        <f>TRUNC(ROUND(($I678)/(1-($I678)),5)*VLOOKUP(D678,[1]apoio_Preços_MGS!$A$6:$AN$238,39,FALSE)+VLOOKUP(D678,[1]apoio_Preços_MGS!$A$6:$AN$238,39,FALSE),2)</f>
        <v>210.52</v>
      </c>
      <c r="AN678" s="45">
        <f t="shared" si="336"/>
        <v>1052.6000000000001</v>
      </c>
      <c r="AO678" s="44">
        <f>VLOOKUP(D678,[1]apoio_Preços_MGS!$A$6:$AN$238,40,FALSE)</f>
        <v>549.14</v>
      </c>
      <c r="AP678" s="44">
        <f>IF(J678="demais municípios",VLOOKUP(D678,[1]apoio_Preços_MGS!$A$6:$AN$238,40,FALSE),0)</f>
        <v>0</v>
      </c>
      <c r="AQ678" s="44">
        <f>TRUNC(ROUND(($I678)/(1-($I678)),5)*VLOOKUP(D678,[1]apoio_Preços_MGS!$A$6:$AN$238,40,FALSE)+VLOOKUP(D678,[1]apoio_Preços_MGS!$A$6:$AN$238,40,FALSE),2)</f>
        <v>578.04</v>
      </c>
      <c r="AR678" s="45">
        <f t="shared" si="337"/>
        <v>2890.2</v>
      </c>
      <c r="AS678" s="45">
        <f t="shared" si="333"/>
        <v>3942.8</v>
      </c>
      <c r="AT678" s="45">
        <f t="shared" si="335"/>
        <v>236568</v>
      </c>
      <c r="AU678" s="62"/>
      <c r="AV678" s="46"/>
      <c r="AW678" s="47"/>
      <c r="AX678" s="48"/>
      <c r="AY678" s="49"/>
      <c r="BA678" s="48"/>
    </row>
    <row r="679" spans="1:53" ht="19.5" customHeight="1" x14ac:dyDescent="0.25">
      <c r="A679" s="33" t="str">
        <f t="shared" si="331"/>
        <v>106267400,02</v>
      </c>
      <c r="B679" s="33" t="str">
        <f t="shared" si="332"/>
        <v>1280,02</v>
      </c>
      <c r="C679" s="34" t="str">
        <f>VLOOKUP(D679,[1]apoio_Preços_MGS!$A$6:$B$238,2,FALSE)</f>
        <v>TRABALHADOR DA MANUTENÇÃO PREDIAL E INSTALAÇÕES</v>
      </c>
      <c r="D679" s="35">
        <v>128</v>
      </c>
      <c r="E679" s="33" t="str">
        <f>VLOOKUP(D679,[1]apoio_Preços_MGS!$A$6:$F$238,6,FALSE)</f>
        <v>TRABALHADOR DA MANUTENÇÃO PREDIAL E INSTALAÇÕES - (PERIC.) - DIARISTA DIURNO - 40H</v>
      </c>
      <c r="F679" s="36">
        <f>IFERROR(VLOOKUP(D679,'[1]apoio_cód catmas'!$B$2:$C$863,2,FALSE),0)</f>
        <v>106267</v>
      </c>
      <c r="G679" s="33" t="str">
        <f>IF(H679="N/A",VLOOKUP(F679&amp;40,'[1]apoio_cód catmas'!$A$1:$G$233,4,FALSE),VLOOKUP(F679&amp;H679,'[1]apoio_cód catmas'!$A$1:$G$233,4,FALSE))</f>
        <v>TRABALHADOR DA MANUTENCAO  PREDIAL E INSTALACOES (PERICULOSIDADE) - 40H OU 44H</v>
      </c>
      <c r="H679" s="36">
        <v>40</v>
      </c>
      <c r="I679" s="37">
        <v>0.02</v>
      </c>
      <c r="J679" s="38" t="s">
        <v>46</v>
      </c>
      <c r="K679" s="39">
        <v>4</v>
      </c>
      <c r="L679" s="39">
        <f t="shared" si="334"/>
        <v>240</v>
      </c>
      <c r="M679" s="40">
        <f>VLOOKUP(D679,[1]apoio_Preços_MGS!$A$6:$AN$238,18,FALSE)</f>
        <v>2503.863216008986</v>
      </c>
      <c r="N679" s="40">
        <f>VLOOKUP(D679,[1]apoio_Preços_MGS!$A$6:$AN$238,19,FALSE)</f>
        <v>751.15896480269578</v>
      </c>
      <c r="O679" s="40">
        <f>VLOOKUP(D679,[1]apoio_Preços_MGS!$A$6:$AN$238,20,FALSE)</f>
        <v>0</v>
      </c>
      <c r="P679" s="40">
        <f>VLOOKUP(D679,[1]apoio_Preços_MGS!$A$6:$AN$238,21,FALSE)</f>
        <v>0</v>
      </c>
      <c r="Q679" s="40">
        <f>VLOOKUP(D679,[1]apoio_Preços_MGS!$A$6:$AN$238,22,FALSE)</f>
        <v>0</v>
      </c>
      <c r="R679" s="40">
        <f>VLOOKUP(D679,[1]apoio_Preços_MGS!$A$6:$AN$238,23,FALSE)</f>
        <v>0</v>
      </c>
      <c r="S679" s="40">
        <f>VLOOKUP(D679,[1]apoio_Preços_MGS!$A$6:$AN$238,24,FALSE)</f>
        <v>0</v>
      </c>
      <c r="T679" s="40">
        <f>VLOOKUP(D679,[1]apoio_Preços_MGS!$A$6:$AN$238,25,FALSE)</f>
        <v>0</v>
      </c>
      <c r="U679" s="40">
        <f t="shared" si="340"/>
        <v>3255.0221808116817</v>
      </c>
      <c r="V679" s="41">
        <v>0.81799999999999995</v>
      </c>
      <c r="W679" s="40">
        <f t="shared" si="341"/>
        <v>2662.6081439039554</v>
      </c>
      <c r="X679" s="40">
        <f>VLOOKUP(D679,[1]apoio_Preços_MGS!$A$6:$AN$238,29,FALSE)</f>
        <v>19.18</v>
      </c>
      <c r="Y679" s="40">
        <f>VLOOKUP(D679,[1]apoio_Preços_MGS!$A$6:$AN$238,30,FALSE)</f>
        <v>52.615447885447871</v>
      </c>
      <c r="Z679" s="40">
        <f t="shared" si="346"/>
        <v>71.795447885447871</v>
      </c>
      <c r="AA679" s="40">
        <f>VLOOKUP(D679,[1]apoio_Preços_MGS!$A$6:$AN$238,32,FALSE)</f>
        <v>4.8074173747372528</v>
      </c>
      <c r="AB679" s="40">
        <f>VLOOKUP(D679,[1]apoio_Preços_MGS!$A$6:$AN$238,33,FALSE)</f>
        <v>210.30305694305693</v>
      </c>
      <c r="AC679" s="41">
        <f>VLOOKUP(D679,[1]apoio_Preços_MGS!$A$6:$AN$238,34,FALSE)</f>
        <v>3.2904213048597905E-2</v>
      </c>
      <c r="AD679" s="40">
        <f>(U679+W679+Z679+AB679+AA679+VLOOKUP(C679,[1]apoio_Prec_Folha!$A:$S,7,FALSE))*AC679</f>
        <v>222.22469497352859</v>
      </c>
      <c r="AE679" s="42">
        <f>VLOOKUP(D679,[1]apoio_Preços_MGS!$A$6:$AN$238,36,FALSE)</f>
        <v>7.0000000000000007E-2</v>
      </c>
      <c r="AF679" s="40">
        <f>(U679+W679+Z679+AB679+AD679+AA679+VLOOKUP(C679,[1]apoio_Prec_Folha!$A:$S,7,FALSE))*AE679</f>
        <v>488.31368900939174</v>
      </c>
      <c r="AG679" s="40">
        <f t="shared" si="347"/>
        <v>6915.07</v>
      </c>
      <c r="AH679" s="43">
        <f t="shared" si="348"/>
        <v>7791.62</v>
      </c>
      <c r="AI679" s="43">
        <f t="shared" si="349"/>
        <v>31166.48</v>
      </c>
      <c r="AJ679" s="43">
        <f t="shared" si="350"/>
        <v>1869988.8</v>
      </c>
      <c r="AK679" s="44">
        <f>VLOOKUP(D679,[1]apoio_Preços_MGS!$A$6:$AN$238,39,FALSE)</f>
        <v>181.81818181818184</v>
      </c>
      <c r="AL679" s="44">
        <f>IF(J679="demais municípios",VLOOKUP(D679,[1]apoio_Preços_MGS!$A$6:$AN$238,39,FALSE),0)</f>
        <v>181.81818181818184</v>
      </c>
      <c r="AM679" s="44">
        <v>0</v>
      </c>
      <c r="AN679" s="45">
        <f t="shared" ref="AN679:AN680" si="351">AK679*K679</f>
        <v>727.27272727272737</v>
      </c>
      <c r="AO679" s="44">
        <f>VLOOKUP(D679,[1]apoio_Preços_MGS!$A$6:$AN$238,40,FALSE)</f>
        <v>549.14</v>
      </c>
      <c r="AP679" s="44">
        <f>IF(J679="demais municípios",VLOOKUP(D679,[1]apoio_Preços_MGS!$A$6:$AN$238,40,FALSE),0)</f>
        <v>549.14</v>
      </c>
      <c r="AQ679" s="44">
        <v>0</v>
      </c>
      <c r="AR679" s="45">
        <f t="shared" ref="AR679:AR680" si="352">AO679*K679</f>
        <v>2196.56</v>
      </c>
      <c r="AS679" s="45">
        <f t="shared" si="333"/>
        <v>2923.8327272727274</v>
      </c>
      <c r="AT679" s="45">
        <f t="shared" si="335"/>
        <v>175429.96363636365</v>
      </c>
      <c r="AU679" s="62"/>
      <c r="AV679" s="46"/>
      <c r="AW679" s="47"/>
      <c r="AX679" s="48"/>
      <c r="AY679" s="49"/>
      <c r="BA679" s="48"/>
    </row>
    <row r="680" spans="1:53" ht="19.5" customHeight="1" x14ac:dyDescent="0.25">
      <c r="A680" s="33" t="str">
        <f t="shared" si="331"/>
        <v>106267400,03</v>
      </c>
      <c r="B680" s="33" t="str">
        <f t="shared" si="332"/>
        <v>1280,03</v>
      </c>
      <c r="C680" s="34" t="str">
        <f>VLOOKUP(D680,[1]apoio_Preços_MGS!$A$6:$B$238,2,FALSE)</f>
        <v>TRABALHADOR DA MANUTENÇÃO PREDIAL E INSTALAÇÕES</v>
      </c>
      <c r="D680" s="35">
        <v>128</v>
      </c>
      <c r="E680" s="33" t="str">
        <f>VLOOKUP(D680,[1]apoio_Preços_MGS!$A$6:$F$238,6,FALSE)</f>
        <v>TRABALHADOR DA MANUTENÇÃO PREDIAL E INSTALAÇÕES - (PERIC.) - DIARISTA DIURNO - 40H</v>
      </c>
      <c r="F680" s="36">
        <f>IFERROR(VLOOKUP(D680,'[1]apoio_cód catmas'!$B$2:$C$863,2,FALSE),0)</f>
        <v>106267</v>
      </c>
      <c r="G680" s="33" t="str">
        <f>IF(H680="N/A",VLOOKUP(F680&amp;40,'[1]apoio_cód catmas'!$A$1:$G$233,4,FALSE),VLOOKUP(F680&amp;H680,'[1]apoio_cód catmas'!$A$1:$G$233,4,FALSE))</f>
        <v>TRABALHADOR DA MANUTENCAO  PREDIAL E INSTALACOES (PERICULOSIDADE) - 40H OU 44H</v>
      </c>
      <c r="H680" s="36">
        <v>40</v>
      </c>
      <c r="I680" s="37">
        <v>0.03</v>
      </c>
      <c r="J680" s="38" t="s">
        <v>46</v>
      </c>
      <c r="K680" s="39">
        <v>1</v>
      </c>
      <c r="L680" s="39">
        <f t="shared" si="334"/>
        <v>60</v>
      </c>
      <c r="M680" s="40">
        <f>VLOOKUP(D680,[1]apoio_Preços_MGS!$A$6:$AN$238,18,FALSE)</f>
        <v>2503.863216008986</v>
      </c>
      <c r="N680" s="40">
        <f>VLOOKUP(D680,[1]apoio_Preços_MGS!$A$6:$AN$238,19,FALSE)</f>
        <v>751.15896480269578</v>
      </c>
      <c r="O680" s="40">
        <f>VLOOKUP(D680,[1]apoio_Preços_MGS!$A$6:$AN$238,20,FALSE)</f>
        <v>0</v>
      </c>
      <c r="P680" s="40">
        <f>VLOOKUP(D680,[1]apoio_Preços_MGS!$A$6:$AN$238,21,FALSE)</f>
        <v>0</v>
      </c>
      <c r="Q680" s="40">
        <f>VLOOKUP(D680,[1]apoio_Preços_MGS!$A$6:$AN$238,22,FALSE)</f>
        <v>0</v>
      </c>
      <c r="R680" s="40">
        <f>VLOOKUP(D680,[1]apoio_Preços_MGS!$A$6:$AN$238,23,FALSE)</f>
        <v>0</v>
      </c>
      <c r="S680" s="40">
        <f>VLOOKUP(D680,[1]apoio_Preços_MGS!$A$6:$AN$238,24,FALSE)</f>
        <v>0</v>
      </c>
      <c r="T680" s="40">
        <f>VLOOKUP(D680,[1]apoio_Preços_MGS!$A$6:$AN$238,25,FALSE)</f>
        <v>0</v>
      </c>
      <c r="U680" s="40">
        <f t="shared" si="340"/>
        <v>3255.0221808116817</v>
      </c>
      <c r="V680" s="41">
        <v>0.81799999999999995</v>
      </c>
      <c r="W680" s="40">
        <f t="shared" si="341"/>
        <v>2662.6081439039554</v>
      </c>
      <c r="X680" s="40">
        <f>VLOOKUP(D680,[1]apoio_Preços_MGS!$A$6:$AN$238,29,FALSE)</f>
        <v>19.18</v>
      </c>
      <c r="Y680" s="40">
        <f>VLOOKUP(D680,[1]apoio_Preços_MGS!$A$6:$AN$238,30,FALSE)</f>
        <v>52.615447885447871</v>
      </c>
      <c r="Z680" s="40">
        <f t="shared" si="346"/>
        <v>71.795447885447871</v>
      </c>
      <c r="AA680" s="40">
        <f>VLOOKUP(D680,[1]apoio_Preços_MGS!$A$6:$AN$238,32,FALSE)</f>
        <v>4.8074173747372528</v>
      </c>
      <c r="AB680" s="40">
        <f>VLOOKUP(D680,[1]apoio_Preços_MGS!$A$6:$AN$238,33,FALSE)</f>
        <v>210.30305694305693</v>
      </c>
      <c r="AC680" s="41">
        <f>VLOOKUP(D680,[1]apoio_Preços_MGS!$A$6:$AN$238,34,FALSE)</f>
        <v>3.2904213048597905E-2</v>
      </c>
      <c r="AD680" s="40">
        <f>(U680+W680+Z680+AB680+AA680+VLOOKUP(C680,[1]apoio_Prec_Folha!$A:$S,7,FALSE))*AC680</f>
        <v>222.22469497352859</v>
      </c>
      <c r="AE680" s="42">
        <f>VLOOKUP(D680,[1]apoio_Preços_MGS!$A$6:$AN$238,36,FALSE)</f>
        <v>7.0000000000000007E-2</v>
      </c>
      <c r="AF680" s="40">
        <f>(U680+W680+Z680+AB680+AD680+AA680+VLOOKUP(C680,[1]apoio_Prec_Folha!$A:$S,7,FALSE))*AE680</f>
        <v>488.31368900939174</v>
      </c>
      <c r="AG680" s="40">
        <f t="shared" si="347"/>
        <v>6915.07</v>
      </c>
      <c r="AH680" s="43">
        <f t="shared" si="348"/>
        <v>7880.41</v>
      </c>
      <c r="AI680" s="43">
        <f t="shared" si="349"/>
        <v>7880.41</v>
      </c>
      <c r="AJ680" s="43">
        <f t="shared" si="350"/>
        <v>472824.6</v>
      </c>
      <c r="AK680" s="44">
        <f>VLOOKUP(D680,[1]apoio_Preços_MGS!$A$6:$AN$238,39,FALSE)</f>
        <v>181.81818181818184</v>
      </c>
      <c r="AL680" s="44">
        <f>IF(J680="demais municípios",VLOOKUP(D680,[1]apoio_Preços_MGS!$A$6:$AN$238,39,FALSE),0)</f>
        <v>181.81818181818184</v>
      </c>
      <c r="AM680" s="44">
        <v>0</v>
      </c>
      <c r="AN680" s="45">
        <f t="shared" si="351"/>
        <v>181.81818181818184</v>
      </c>
      <c r="AO680" s="44">
        <f>VLOOKUP(D680,[1]apoio_Preços_MGS!$A$6:$AN$238,40,FALSE)</f>
        <v>549.14</v>
      </c>
      <c r="AP680" s="44">
        <f>IF(J680="demais municípios",VLOOKUP(D680,[1]apoio_Preços_MGS!$A$6:$AN$238,40,FALSE),0)</f>
        <v>549.14</v>
      </c>
      <c r="AQ680" s="44">
        <v>0</v>
      </c>
      <c r="AR680" s="45">
        <f t="shared" si="352"/>
        <v>549.14</v>
      </c>
      <c r="AS680" s="45">
        <f t="shared" si="333"/>
        <v>730.95818181818186</v>
      </c>
      <c r="AT680" s="45">
        <f t="shared" si="335"/>
        <v>43857.490909090913</v>
      </c>
      <c r="AU680" s="62"/>
      <c r="AV680" s="46"/>
      <c r="AW680" s="47"/>
      <c r="AX680" s="48"/>
      <c r="AY680" s="49"/>
      <c r="BA680" s="48"/>
    </row>
    <row r="681" spans="1:53" ht="19.5" customHeight="1" x14ac:dyDescent="0.25">
      <c r="A681" s="33" t="str">
        <f t="shared" si="331"/>
        <v>106267400,05</v>
      </c>
      <c r="B681" s="33" t="str">
        <f t="shared" si="332"/>
        <v>1280,05</v>
      </c>
      <c r="C681" s="34" t="str">
        <f>VLOOKUP(D681,[1]apoio_Preços_MGS!$A$6:$B$238,2,FALSE)</f>
        <v>TRABALHADOR DA MANUTENÇÃO PREDIAL E INSTALAÇÕES</v>
      </c>
      <c r="D681" s="35">
        <v>128</v>
      </c>
      <c r="E681" s="33" t="str">
        <f>VLOOKUP(D681,[1]apoio_Preços_MGS!$A$6:$F$238,6,FALSE)</f>
        <v>TRABALHADOR DA MANUTENÇÃO PREDIAL E INSTALAÇÕES - (PERIC.) - DIARISTA DIURNO - 40H</v>
      </c>
      <c r="F681" s="36">
        <f>IFERROR(VLOOKUP(D681,'[1]apoio_cód catmas'!$B$2:$C$863,2,FALSE),0)</f>
        <v>106267</v>
      </c>
      <c r="G681" s="33" t="str">
        <f>IF(H681="N/A",VLOOKUP(F681&amp;40,'[1]apoio_cód catmas'!$A$1:$G$233,4,FALSE),VLOOKUP(F681&amp;H681,'[1]apoio_cód catmas'!$A$1:$G$233,4,FALSE))</f>
        <v>TRABALHADOR DA MANUTENCAO  PREDIAL E INSTALACOES (PERICULOSIDADE) - 40H OU 44H</v>
      </c>
      <c r="H681" s="36">
        <v>40</v>
      </c>
      <c r="I681" s="37">
        <v>0.05</v>
      </c>
      <c r="J681" s="38" t="s">
        <v>47</v>
      </c>
      <c r="K681" s="39">
        <v>13</v>
      </c>
      <c r="L681" s="39">
        <f t="shared" si="334"/>
        <v>780</v>
      </c>
      <c r="M681" s="40">
        <f>VLOOKUP(D681,[1]apoio_Preços_MGS!$A$6:$AN$238,18,FALSE)</f>
        <v>2503.863216008986</v>
      </c>
      <c r="N681" s="40">
        <f>VLOOKUP(D681,[1]apoio_Preços_MGS!$A$6:$AN$238,19,FALSE)</f>
        <v>751.15896480269578</v>
      </c>
      <c r="O681" s="40">
        <f>VLOOKUP(D681,[1]apoio_Preços_MGS!$A$6:$AN$238,20,FALSE)</f>
        <v>0</v>
      </c>
      <c r="P681" s="40">
        <f>VLOOKUP(D681,[1]apoio_Preços_MGS!$A$6:$AN$238,21,FALSE)</f>
        <v>0</v>
      </c>
      <c r="Q681" s="40">
        <f>VLOOKUP(D681,[1]apoio_Preços_MGS!$A$6:$AN$238,22,FALSE)</f>
        <v>0</v>
      </c>
      <c r="R681" s="40">
        <f>VLOOKUP(D681,[1]apoio_Preços_MGS!$A$6:$AN$238,23,FALSE)</f>
        <v>0</v>
      </c>
      <c r="S681" s="40">
        <f>VLOOKUP(D681,[1]apoio_Preços_MGS!$A$6:$AN$238,24,FALSE)</f>
        <v>0</v>
      </c>
      <c r="T681" s="40">
        <f>VLOOKUP(D681,[1]apoio_Preços_MGS!$A$6:$AN$238,25,FALSE)</f>
        <v>0</v>
      </c>
      <c r="U681" s="40">
        <f t="shared" si="340"/>
        <v>3255.0221808116817</v>
      </c>
      <c r="V681" s="41">
        <v>0.81799999999999995</v>
      </c>
      <c r="W681" s="40">
        <f t="shared" si="341"/>
        <v>2662.6081439039554</v>
      </c>
      <c r="X681" s="40">
        <f>VLOOKUP(D681,[1]apoio_Preços_MGS!$A$6:$AN$238,29,FALSE)</f>
        <v>19.18</v>
      </c>
      <c r="Y681" s="40">
        <f>VLOOKUP(D681,[1]apoio_Preços_MGS!$A$6:$AN$238,30,FALSE)</f>
        <v>52.615447885447871</v>
      </c>
      <c r="Z681" s="40">
        <f t="shared" si="346"/>
        <v>71.795447885447871</v>
      </c>
      <c r="AA681" s="40">
        <f>VLOOKUP(D681,[1]apoio_Preços_MGS!$A$6:$AN$238,32,FALSE)</f>
        <v>4.8074173747372528</v>
      </c>
      <c r="AB681" s="40">
        <f>VLOOKUP(D681,[1]apoio_Preços_MGS!$A$6:$AN$238,33,FALSE)</f>
        <v>210.30305694305693</v>
      </c>
      <c r="AC681" s="41">
        <f>VLOOKUP(D681,[1]apoio_Preços_MGS!$A$6:$AN$238,34,FALSE)</f>
        <v>3.2904213048597905E-2</v>
      </c>
      <c r="AD681" s="40">
        <f>(U681+W681+Z681+AB681+AA681+VLOOKUP(C681,[1]apoio_Prec_Folha!$A:$S,7,FALSE))*AC681</f>
        <v>222.22469497352859</v>
      </c>
      <c r="AE681" s="42">
        <f>VLOOKUP(D681,[1]apoio_Preços_MGS!$A$6:$AN$238,36,FALSE)</f>
        <v>7.0000000000000007E-2</v>
      </c>
      <c r="AF681" s="40">
        <f>(U681+W681+Z681+AB681+AD681+AA681+VLOOKUP(C681,[1]apoio_Prec_Folha!$A:$S,7,FALSE))*AE681</f>
        <v>488.31368900939174</v>
      </c>
      <c r="AG681" s="40">
        <f t="shared" si="347"/>
        <v>6915.07</v>
      </c>
      <c r="AH681" s="43">
        <f t="shared" si="348"/>
        <v>8064.21</v>
      </c>
      <c r="AI681" s="43">
        <f t="shared" si="349"/>
        <v>104834.73</v>
      </c>
      <c r="AJ681" s="43">
        <f t="shared" si="350"/>
        <v>6290083.7999999998</v>
      </c>
      <c r="AK681" s="44">
        <f>VLOOKUP(D681,[1]apoio_Preços_MGS!$A$6:$AN$238,39,FALSE)</f>
        <v>181.81818181818184</v>
      </c>
      <c r="AL681" s="44">
        <f>IF(J681="demais municípios",VLOOKUP(D681,[1]apoio_Preços_MGS!$A$6:$AN$238,39,FALSE),0)</f>
        <v>0</v>
      </c>
      <c r="AM681" s="44">
        <f>TRUNC(ROUND(($I681)/(1-($I681)),5)*VLOOKUP(D681,[1]apoio_Preços_MGS!$A$6:$AN$238,39,FALSE)+VLOOKUP(D681,[1]apoio_Preços_MGS!$A$6:$AN$238,39,FALSE),2)</f>
        <v>191.38</v>
      </c>
      <c r="AN681" s="45">
        <f t="shared" si="336"/>
        <v>2487.94</v>
      </c>
      <c r="AO681" s="44">
        <f>VLOOKUP(D681,[1]apoio_Preços_MGS!$A$6:$AN$238,40,FALSE)</f>
        <v>549.14</v>
      </c>
      <c r="AP681" s="44">
        <f>IF(J681="demais municípios",VLOOKUP(D681,[1]apoio_Preços_MGS!$A$6:$AN$238,40,FALSE),0)</f>
        <v>0</v>
      </c>
      <c r="AQ681" s="44">
        <f>TRUNC(ROUND(($I681)/(1-($I681)),5)*VLOOKUP(D681,[1]apoio_Preços_MGS!$A$6:$AN$238,40,FALSE)+VLOOKUP(D681,[1]apoio_Preços_MGS!$A$6:$AN$238,40,FALSE),2)</f>
        <v>578.04</v>
      </c>
      <c r="AR681" s="45">
        <f t="shared" si="337"/>
        <v>7514.5199999999995</v>
      </c>
      <c r="AS681" s="45">
        <f t="shared" si="333"/>
        <v>10002.459999999999</v>
      </c>
      <c r="AT681" s="45">
        <f t="shared" si="335"/>
        <v>600147.6</v>
      </c>
      <c r="AU681" s="62"/>
      <c r="AV681" s="46"/>
      <c r="AW681" s="47"/>
      <c r="AX681" s="48"/>
      <c r="AY681" s="49"/>
      <c r="BA681" s="48"/>
    </row>
    <row r="682" spans="1:53" ht="19.5" customHeight="1" x14ac:dyDescent="0.25">
      <c r="A682" s="33" t="str">
        <f t="shared" si="331"/>
        <v>106267440,02</v>
      </c>
      <c r="B682" s="33" t="str">
        <f t="shared" si="332"/>
        <v>1270,02</v>
      </c>
      <c r="C682" s="34" t="str">
        <f>VLOOKUP(D682,[1]apoio_Preços_MGS!$A$6:$B$238,2,FALSE)</f>
        <v>TRABALHADOR DA MANUTENÇÃO PREDIAL E INSTALAÇÕES</v>
      </c>
      <c r="D682" s="35">
        <v>127</v>
      </c>
      <c r="E682" s="33" t="str">
        <f>VLOOKUP(D682,[1]apoio_Preços_MGS!$A$6:$F$238,6,FALSE)</f>
        <v>TRABALHADOR DA MANUTENÇÃO PREDIAL E INSTALAÇÕES - (PERIC.) - DIARISTA DIURNO - 44H</v>
      </c>
      <c r="F682" s="36">
        <f>IFERROR(VLOOKUP(D682,'[1]apoio_cód catmas'!$B$2:$C$863,2,FALSE),0)</f>
        <v>106267</v>
      </c>
      <c r="G682" s="33" t="str">
        <f>IF(H682="N/A",VLOOKUP(F682&amp;40,'[1]apoio_cód catmas'!$A$1:$G$233,4,FALSE),VLOOKUP(F682&amp;H682,'[1]apoio_cód catmas'!$A$1:$G$233,4,FALSE))</f>
        <v>TRABALHADOR DA MANUTENCAO  PREDIAL E INSTALACOES (PERICULOSIDADE) - 40H OU 44H</v>
      </c>
      <c r="H682" s="36">
        <v>44</v>
      </c>
      <c r="I682" s="37">
        <v>0.02</v>
      </c>
      <c r="J682" s="38" t="s">
        <v>46</v>
      </c>
      <c r="K682" s="39">
        <v>16</v>
      </c>
      <c r="L682" s="39">
        <f t="shared" si="334"/>
        <v>960</v>
      </c>
      <c r="M682" s="40">
        <f>VLOOKUP(D682,[1]apoio_Preços_MGS!$A$6:$AN$238,18,FALSE)</f>
        <v>2754.2495376098846</v>
      </c>
      <c r="N682" s="40">
        <f>VLOOKUP(D682,[1]apoio_Preços_MGS!$A$6:$AN$238,19,FALSE)</f>
        <v>826.27486128296539</v>
      </c>
      <c r="O682" s="40">
        <f>VLOOKUP(D682,[1]apoio_Preços_MGS!$A$6:$AN$238,20,FALSE)</f>
        <v>0</v>
      </c>
      <c r="P682" s="40">
        <f>VLOOKUP(D682,[1]apoio_Preços_MGS!$A$6:$AN$238,21,FALSE)</f>
        <v>0</v>
      </c>
      <c r="Q682" s="40">
        <f>VLOOKUP(D682,[1]apoio_Preços_MGS!$A$6:$AN$238,22,FALSE)</f>
        <v>0</v>
      </c>
      <c r="R682" s="40">
        <f>VLOOKUP(D682,[1]apoio_Preços_MGS!$A$6:$AN$238,23,FALSE)</f>
        <v>0</v>
      </c>
      <c r="S682" s="40">
        <f>VLOOKUP(D682,[1]apoio_Preços_MGS!$A$6:$AN$238,24,FALSE)</f>
        <v>0</v>
      </c>
      <c r="T682" s="40">
        <f>VLOOKUP(D682,[1]apoio_Preços_MGS!$A$6:$AN$238,25,FALSE)</f>
        <v>0</v>
      </c>
      <c r="U682" s="40">
        <f t="shared" si="340"/>
        <v>3580.5243988928501</v>
      </c>
      <c r="V682" s="41">
        <v>0.81799999999999995</v>
      </c>
      <c r="W682" s="40">
        <f t="shared" si="341"/>
        <v>2928.8689582943512</v>
      </c>
      <c r="X682" s="40">
        <f>VLOOKUP(D682,[1]apoio_Preços_MGS!$A$6:$AN$238,29,FALSE)</f>
        <v>19.18</v>
      </c>
      <c r="Y682" s="40">
        <f>VLOOKUP(D682,[1]apoio_Preços_MGS!$A$6:$AN$238,30,FALSE)</f>
        <v>52.615447885447871</v>
      </c>
      <c r="Z682" s="40">
        <f t="shared" si="346"/>
        <v>71.795447885447871</v>
      </c>
      <c r="AA682" s="40">
        <f>VLOOKUP(D682,[1]apoio_Preços_MGS!$A$6:$AN$238,32,FALSE)</f>
        <v>5.2881591122109777</v>
      </c>
      <c r="AB682" s="40">
        <f>VLOOKUP(D682,[1]apoio_Preços_MGS!$A$6:$AN$238,33,FALSE)</f>
        <v>201.79439560439556</v>
      </c>
      <c r="AC682" s="41">
        <f>VLOOKUP(D682,[1]apoio_Preços_MGS!$A$6:$AN$238,34,FALSE)</f>
        <v>3.2904213048597905E-2</v>
      </c>
      <c r="AD682" s="40">
        <f>(U682+W682+Z682+AB682+AA682+VLOOKUP(C682,[1]apoio_Prec_Folha!$A:$S,7,FALSE))*AC682</f>
        <v>241.43203949136279</v>
      </c>
      <c r="AE682" s="42">
        <f>VLOOKUP(D682,[1]apoio_Preços_MGS!$A$6:$AN$238,36,FALSE)</f>
        <v>7.0000000000000007E-2</v>
      </c>
      <c r="AF682" s="40">
        <f>(U682+W682+Z682+AB682+AD682+AA682+VLOOKUP(C682,[1]apoio_Prec_Folha!$A:$S,7,FALSE))*AE682</f>
        <v>530.51966102656661</v>
      </c>
      <c r="AG682" s="40">
        <f t="shared" si="347"/>
        <v>7560.22</v>
      </c>
      <c r="AH682" s="43">
        <f t="shared" si="348"/>
        <v>8518.5499999999993</v>
      </c>
      <c r="AI682" s="43">
        <f t="shared" si="349"/>
        <v>136296.79999999999</v>
      </c>
      <c r="AJ682" s="43">
        <f t="shared" si="350"/>
        <v>8177807.9999999991</v>
      </c>
      <c r="AK682" s="44">
        <f>VLOOKUP(D682,[1]apoio_Preços_MGS!$A$6:$AN$238,39,FALSE)</f>
        <v>200.00000000000003</v>
      </c>
      <c r="AL682" s="44">
        <f>IF(J682="demais municípios",VLOOKUP(D682,[1]apoio_Preços_MGS!$A$6:$AN$238,39,FALSE),0)</f>
        <v>200.00000000000003</v>
      </c>
      <c r="AM682" s="44">
        <v>0</v>
      </c>
      <c r="AN682" s="45">
        <f t="shared" ref="AN682:AN688" si="353">AK682*K682</f>
        <v>3200.0000000000005</v>
      </c>
      <c r="AO682" s="44">
        <f>VLOOKUP(D682,[1]apoio_Preços_MGS!$A$6:$AN$238,40,FALSE)</f>
        <v>549.14</v>
      </c>
      <c r="AP682" s="44">
        <f>IF(J682="demais municípios",VLOOKUP(D682,[1]apoio_Preços_MGS!$A$6:$AN$238,40,FALSE),0)</f>
        <v>549.14</v>
      </c>
      <c r="AQ682" s="44">
        <v>0</v>
      </c>
      <c r="AR682" s="45">
        <f t="shared" ref="AR682:AR688" si="354">AO682*K682</f>
        <v>8786.24</v>
      </c>
      <c r="AS682" s="45">
        <f t="shared" si="333"/>
        <v>11986.24</v>
      </c>
      <c r="AT682" s="45">
        <f t="shared" si="335"/>
        <v>719174.4</v>
      </c>
      <c r="AU682" s="62"/>
      <c r="AV682" s="46"/>
      <c r="AW682" s="47"/>
      <c r="AX682" s="48"/>
      <c r="AY682" s="49"/>
      <c r="BA682" s="48"/>
    </row>
    <row r="683" spans="1:53" ht="19.5" customHeight="1" x14ac:dyDescent="0.25">
      <c r="A683" s="33" t="str">
        <f t="shared" si="331"/>
        <v>106267440,025</v>
      </c>
      <c r="B683" s="33" t="str">
        <f t="shared" si="332"/>
        <v>1270,025</v>
      </c>
      <c r="C683" s="34" t="str">
        <f>VLOOKUP(D683,[1]apoio_Preços_MGS!$A$6:$B$238,2,FALSE)</f>
        <v>TRABALHADOR DA MANUTENÇÃO PREDIAL E INSTALAÇÕES</v>
      </c>
      <c r="D683" s="35">
        <v>127</v>
      </c>
      <c r="E683" s="33" t="str">
        <f>VLOOKUP(D683,[1]apoio_Preços_MGS!$A$6:$F$238,6,FALSE)</f>
        <v>TRABALHADOR DA MANUTENÇÃO PREDIAL E INSTALAÇÕES - (PERIC.) - DIARISTA DIURNO - 44H</v>
      </c>
      <c r="F683" s="36">
        <f>IFERROR(VLOOKUP(D683,'[1]apoio_cód catmas'!$B$2:$C$863,2,FALSE),0)</f>
        <v>106267</v>
      </c>
      <c r="G683" s="33" t="str">
        <f>IF(H683="N/A",VLOOKUP(F683&amp;40,'[1]apoio_cód catmas'!$A$1:$G$233,4,FALSE),VLOOKUP(F683&amp;H683,'[1]apoio_cód catmas'!$A$1:$G$233,4,FALSE))</f>
        <v>TRABALHADOR DA MANUTENCAO  PREDIAL E INSTALACOES (PERICULOSIDADE) - 40H OU 44H</v>
      </c>
      <c r="H683" s="36">
        <v>44</v>
      </c>
      <c r="I683" s="37">
        <v>2.5000000000000001E-2</v>
      </c>
      <c r="J683" s="38" t="s">
        <v>46</v>
      </c>
      <c r="K683" s="39">
        <v>1</v>
      </c>
      <c r="L683" s="39">
        <f t="shared" si="334"/>
        <v>60</v>
      </c>
      <c r="M683" s="40">
        <f>VLOOKUP(D683,[1]apoio_Preços_MGS!$A$6:$AN$238,18,FALSE)</f>
        <v>2754.2495376098846</v>
      </c>
      <c r="N683" s="40">
        <f>VLOOKUP(D683,[1]apoio_Preços_MGS!$A$6:$AN$238,19,FALSE)</f>
        <v>826.27486128296539</v>
      </c>
      <c r="O683" s="40">
        <f>VLOOKUP(D683,[1]apoio_Preços_MGS!$A$6:$AN$238,20,FALSE)</f>
        <v>0</v>
      </c>
      <c r="P683" s="40">
        <f>VLOOKUP(D683,[1]apoio_Preços_MGS!$A$6:$AN$238,21,FALSE)</f>
        <v>0</v>
      </c>
      <c r="Q683" s="40">
        <f>VLOOKUP(D683,[1]apoio_Preços_MGS!$A$6:$AN$238,22,FALSE)</f>
        <v>0</v>
      </c>
      <c r="R683" s="40">
        <f>VLOOKUP(D683,[1]apoio_Preços_MGS!$A$6:$AN$238,23,FALSE)</f>
        <v>0</v>
      </c>
      <c r="S683" s="40">
        <f>VLOOKUP(D683,[1]apoio_Preços_MGS!$A$6:$AN$238,24,FALSE)</f>
        <v>0</v>
      </c>
      <c r="T683" s="40">
        <f>VLOOKUP(D683,[1]apoio_Preços_MGS!$A$6:$AN$238,25,FALSE)</f>
        <v>0</v>
      </c>
      <c r="U683" s="40">
        <f t="shared" si="340"/>
        <v>3580.5243988928501</v>
      </c>
      <c r="V683" s="41">
        <v>0.81799999999999995</v>
      </c>
      <c r="W683" s="40">
        <f t="shared" si="341"/>
        <v>2928.8689582943512</v>
      </c>
      <c r="X683" s="40">
        <f>VLOOKUP(D683,[1]apoio_Preços_MGS!$A$6:$AN$238,29,FALSE)</f>
        <v>19.18</v>
      </c>
      <c r="Y683" s="40">
        <f>VLOOKUP(D683,[1]apoio_Preços_MGS!$A$6:$AN$238,30,FALSE)</f>
        <v>52.615447885447871</v>
      </c>
      <c r="Z683" s="40">
        <f t="shared" si="346"/>
        <v>71.795447885447871</v>
      </c>
      <c r="AA683" s="40">
        <f>VLOOKUP(D683,[1]apoio_Preços_MGS!$A$6:$AN$238,32,FALSE)</f>
        <v>5.2881591122109777</v>
      </c>
      <c r="AB683" s="40">
        <f>VLOOKUP(D683,[1]apoio_Preços_MGS!$A$6:$AN$238,33,FALSE)</f>
        <v>201.79439560439556</v>
      </c>
      <c r="AC683" s="41">
        <f>VLOOKUP(D683,[1]apoio_Preços_MGS!$A$6:$AN$238,34,FALSE)</f>
        <v>3.2904213048597905E-2</v>
      </c>
      <c r="AD683" s="40">
        <f>(U683+W683+Z683+AB683+AA683+VLOOKUP(C683,[1]apoio_Prec_Folha!$A:$S,7,FALSE))*AC683</f>
        <v>241.43203949136279</v>
      </c>
      <c r="AE683" s="42">
        <f>VLOOKUP(D683,[1]apoio_Preços_MGS!$A$6:$AN$238,36,FALSE)</f>
        <v>7.0000000000000007E-2</v>
      </c>
      <c r="AF683" s="40">
        <f>(U683+W683+Z683+AB683+AD683+AA683+VLOOKUP(C683,[1]apoio_Prec_Folha!$A:$S,7,FALSE))*AE683</f>
        <v>530.51966102656661</v>
      </c>
      <c r="AG683" s="40">
        <f t="shared" si="347"/>
        <v>7560.22</v>
      </c>
      <c r="AH683" s="43">
        <f t="shared" si="348"/>
        <v>8566.7800000000007</v>
      </c>
      <c r="AI683" s="43">
        <f t="shared" si="349"/>
        <v>8566.7800000000007</v>
      </c>
      <c r="AJ683" s="43">
        <f t="shared" si="350"/>
        <v>514006.80000000005</v>
      </c>
      <c r="AK683" s="44">
        <f>VLOOKUP(D683,[1]apoio_Preços_MGS!$A$6:$AN$238,39,FALSE)</f>
        <v>200.00000000000003</v>
      </c>
      <c r="AL683" s="44">
        <f>IF(J683="demais municípios",VLOOKUP(D683,[1]apoio_Preços_MGS!$A$6:$AN$238,39,FALSE),0)</f>
        <v>200.00000000000003</v>
      </c>
      <c r="AM683" s="44">
        <v>0</v>
      </c>
      <c r="AN683" s="45">
        <f t="shared" si="353"/>
        <v>200.00000000000003</v>
      </c>
      <c r="AO683" s="44">
        <f>VLOOKUP(D683,[1]apoio_Preços_MGS!$A$6:$AN$238,40,FALSE)</f>
        <v>549.14</v>
      </c>
      <c r="AP683" s="44">
        <f>IF(J683="demais municípios",VLOOKUP(D683,[1]apoio_Preços_MGS!$A$6:$AN$238,40,FALSE),0)</f>
        <v>549.14</v>
      </c>
      <c r="AQ683" s="44">
        <v>0</v>
      </c>
      <c r="AR683" s="45">
        <f t="shared" si="354"/>
        <v>549.14</v>
      </c>
      <c r="AS683" s="45">
        <f t="shared" si="333"/>
        <v>749.14</v>
      </c>
      <c r="AT683" s="45">
        <f t="shared" si="335"/>
        <v>44948.4</v>
      </c>
      <c r="AU683" s="62"/>
      <c r="AV683" s="46"/>
      <c r="AW683" s="47"/>
      <c r="AX683" s="48"/>
      <c r="AY683" s="49"/>
      <c r="BA683" s="48"/>
    </row>
    <row r="684" spans="1:53" ht="19.5" customHeight="1" x14ac:dyDescent="0.25">
      <c r="A684" s="33" t="str">
        <f t="shared" si="331"/>
        <v>106267440,03</v>
      </c>
      <c r="B684" s="33" t="str">
        <f t="shared" si="332"/>
        <v>1270,03</v>
      </c>
      <c r="C684" s="34" t="str">
        <f>VLOOKUP(D684,[1]apoio_Preços_MGS!$A$6:$B$238,2,FALSE)</f>
        <v>TRABALHADOR DA MANUTENÇÃO PREDIAL E INSTALAÇÕES</v>
      </c>
      <c r="D684" s="35">
        <v>127</v>
      </c>
      <c r="E684" s="33" t="str">
        <f>VLOOKUP(D684,[1]apoio_Preços_MGS!$A$6:$F$238,6,FALSE)</f>
        <v>TRABALHADOR DA MANUTENÇÃO PREDIAL E INSTALAÇÕES - (PERIC.) - DIARISTA DIURNO - 44H</v>
      </c>
      <c r="F684" s="36">
        <f>IFERROR(VLOOKUP(D684,'[1]apoio_cód catmas'!$B$2:$C$863,2,FALSE),0)</f>
        <v>106267</v>
      </c>
      <c r="G684" s="33" t="str">
        <f>IF(H684="N/A",VLOOKUP(F684&amp;40,'[1]apoio_cód catmas'!$A$1:$G$233,4,FALSE),VLOOKUP(F684&amp;H684,'[1]apoio_cód catmas'!$A$1:$G$233,4,FALSE))</f>
        <v>TRABALHADOR DA MANUTENCAO  PREDIAL E INSTALACOES (PERICULOSIDADE) - 40H OU 44H</v>
      </c>
      <c r="H684" s="36">
        <v>44</v>
      </c>
      <c r="I684" s="37">
        <v>0.03</v>
      </c>
      <c r="J684" s="38" t="s">
        <v>46</v>
      </c>
      <c r="K684" s="39">
        <f>25-1</f>
        <v>24</v>
      </c>
      <c r="L684" s="39">
        <f t="shared" si="334"/>
        <v>1440</v>
      </c>
      <c r="M684" s="40">
        <f>VLOOKUP(D684,[1]apoio_Preços_MGS!$A$6:$AN$238,18,FALSE)</f>
        <v>2754.2495376098846</v>
      </c>
      <c r="N684" s="40">
        <f>VLOOKUP(D684,[1]apoio_Preços_MGS!$A$6:$AN$238,19,FALSE)</f>
        <v>826.27486128296539</v>
      </c>
      <c r="O684" s="40">
        <f>VLOOKUP(D684,[1]apoio_Preços_MGS!$A$6:$AN$238,20,FALSE)</f>
        <v>0</v>
      </c>
      <c r="P684" s="40">
        <f>VLOOKUP(D684,[1]apoio_Preços_MGS!$A$6:$AN$238,21,FALSE)</f>
        <v>0</v>
      </c>
      <c r="Q684" s="40">
        <f>VLOOKUP(D684,[1]apoio_Preços_MGS!$A$6:$AN$238,22,FALSE)</f>
        <v>0</v>
      </c>
      <c r="R684" s="40">
        <f>VLOOKUP(D684,[1]apoio_Preços_MGS!$A$6:$AN$238,23,FALSE)</f>
        <v>0</v>
      </c>
      <c r="S684" s="40">
        <f>VLOOKUP(D684,[1]apoio_Preços_MGS!$A$6:$AN$238,24,FALSE)</f>
        <v>0</v>
      </c>
      <c r="T684" s="40">
        <f>VLOOKUP(D684,[1]apoio_Preços_MGS!$A$6:$AN$238,25,FALSE)</f>
        <v>0</v>
      </c>
      <c r="U684" s="40">
        <f t="shared" si="340"/>
        <v>3580.5243988928501</v>
      </c>
      <c r="V684" s="41">
        <v>0.81799999999999995</v>
      </c>
      <c r="W684" s="40">
        <f t="shared" si="341"/>
        <v>2928.8689582943512</v>
      </c>
      <c r="X684" s="40">
        <f>VLOOKUP(D684,[1]apoio_Preços_MGS!$A$6:$AN$238,29,FALSE)</f>
        <v>19.18</v>
      </c>
      <c r="Y684" s="40">
        <f>VLOOKUP(D684,[1]apoio_Preços_MGS!$A$6:$AN$238,30,FALSE)</f>
        <v>52.615447885447871</v>
      </c>
      <c r="Z684" s="40">
        <f t="shared" si="346"/>
        <v>71.795447885447871</v>
      </c>
      <c r="AA684" s="40">
        <f>VLOOKUP(D684,[1]apoio_Preços_MGS!$A$6:$AN$238,32,FALSE)</f>
        <v>5.2881591122109777</v>
      </c>
      <c r="AB684" s="40">
        <f>VLOOKUP(D684,[1]apoio_Preços_MGS!$A$6:$AN$238,33,FALSE)</f>
        <v>201.79439560439556</v>
      </c>
      <c r="AC684" s="41">
        <f>VLOOKUP(D684,[1]apoio_Preços_MGS!$A$6:$AN$238,34,FALSE)</f>
        <v>3.2904213048597905E-2</v>
      </c>
      <c r="AD684" s="40">
        <f>(U684+W684+Z684+AB684+AA684+VLOOKUP(C684,[1]apoio_Prec_Folha!$A:$S,7,FALSE))*AC684</f>
        <v>241.43203949136279</v>
      </c>
      <c r="AE684" s="42">
        <f>VLOOKUP(D684,[1]apoio_Preços_MGS!$A$6:$AN$238,36,FALSE)</f>
        <v>7.0000000000000007E-2</v>
      </c>
      <c r="AF684" s="40">
        <f>(U684+W684+Z684+AB684+AD684+AA684+VLOOKUP(C684,[1]apoio_Prec_Folha!$A:$S,7,FALSE))*AE684</f>
        <v>530.51966102656661</v>
      </c>
      <c r="AG684" s="40">
        <f t="shared" si="347"/>
        <v>7560.22</v>
      </c>
      <c r="AH684" s="43">
        <f t="shared" si="348"/>
        <v>8615.6200000000008</v>
      </c>
      <c r="AI684" s="43">
        <f t="shared" si="349"/>
        <v>206774.88</v>
      </c>
      <c r="AJ684" s="43">
        <f t="shared" si="350"/>
        <v>12406492.800000001</v>
      </c>
      <c r="AK684" s="44">
        <f>VLOOKUP(D684,[1]apoio_Preços_MGS!$A$6:$AN$238,39,FALSE)</f>
        <v>200.00000000000003</v>
      </c>
      <c r="AL684" s="44">
        <f>IF(J684="demais municípios",VLOOKUP(D684,[1]apoio_Preços_MGS!$A$6:$AN$238,39,FALSE),0)</f>
        <v>200.00000000000003</v>
      </c>
      <c r="AM684" s="44">
        <v>0</v>
      </c>
      <c r="AN684" s="45">
        <f t="shared" si="353"/>
        <v>4800.0000000000009</v>
      </c>
      <c r="AO684" s="44">
        <f>VLOOKUP(D684,[1]apoio_Preços_MGS!$A$6:$AN$238,40,FALSE)</f>
        <v>549.14</v>
      </c>
      <c r="AP684" s="44">
        <f>IF(J684="demais municípios",VLOOKUP(D684,[1]apoio_Preços_MGS!$A$6:$AN$238,40,FALSE),0)</f>
        <v>549.14</v>
      </c>
      <c r="AQ684" s="44">
        <v>0</v>
      </c>
      <c r="AR684" s="45">
        <f t="shared" si="354"/>
        <v>13179.36</v>
      </c>
      <c r="AS684" s="45">
        <f t="shared" si="333"/>
        <v>17979.36</v>
      </c>
      <c r="AT684" s="45">
        <f t="shared" si="335"/>
        <v>1078761.6000000001</v>
      </c>
      <c r="AU684" s="62"/>
      <c r="AV684" s="46"/>
      <c r="AW684" s="47"/>
      <c r="AX684" s="48"/>
      <c r="AY684" s="49"/>
      <c r="BA684" s="48"/>
    </row>
    <row r="685" spans="1:53" ht="19.5" customHeight="1" x14ac:dyDescent="0.25">
      <c r="A685" s="33" t="str">
        <f t="shared" si="331"/>
        <v>106267440,035</v>
      </c>
      <c r="B685" s="33" t="str">
        <f t="shared" si="332"/>
        <v>1270,035</v>
      </c>
      <c r="C685" s="34" t="str">
        <f>VLOOKUP(D685,[1]apoio_Preços_MGS!$A$6:$B$238,2,FALSE)</f>
        <v>TRABALHADOR DA MANUTENÇÃO PREDIAL E INSTALAÇÕES</v>
      </c>
      <c r="D685" s="35">
        <v>127</v>
      </c>
      <c r="E685" s="33" t="str">
        <f>VLOOKUP(D685,[1]apoio_Preços_MGS!$A$6:$F$238,6,FALSE)</f>
        <v>TRABALHADOR DA MANUTENÇÃO PREDIAL E INSTALAÇÕES - (PERIC.) - DIARISTA DIURNO - 44H</v>
      </c>
      <c r="F685" s="36">
        <f>IFERROR(VLOOKUP(D685,'[1]apoio_cód catmas'!$B$2:$C$863,2,FALSE),0)</f>
        <v>106267</v>
      </c>
      <c r="G685" s="33" t="str">
        <f>IF(H685="N/A",VLOOKUP(F685&amp;40,'[1]apoio_cód catmas'!$A$1:$G$233,4,FALSE),VLOOKUP(F685&amp;H685,'[1]apoio_cód catmas'!$A$1:$G$233,4,FALSE))</f>
        <v>TRABALHADOR DA MANUTENCAO  PREDIAL E INSTALACOES (PERICULOSIDADE) - 40H OU 44H</v>
      </c>
      <c r="H685" s="36">
        <v>44</v>
      </c>
      <c r="I685" s="37">
        <v>3.5000000000000003E-2</v>
      </c>
      <c r="J685" s="38" t="s">
        <v>46</v>
      </c>
      <c r="K685" s="39">
        <v>1</v>
      </c>
      <c r="L685" s="39">
        <f t="shared" si="334"/>
        <v>60</v>
      </c>
      <c r="M685" s="40">
        <f>VLOOKUP(D685,[1]apoio_Preços_MGS!$A$6:$AN$238,18,FALSE)</f>
        <v>2754.2495376098846</v>
      </c>
      <c r="N685" s="40">
        <f>VLOOKUP(D685,[1]apoio_Preços_MGS!$A$6:$AN$238,19,FALSE)</f>
        <v>826.27486128296539</v>
      </c>
      <c r="O685" s="40">
        <f>VLOOKUP(D685,[1]apoio_Preços_MGS!$A$6:$AN$238,20,FALSE)</f>
        <v>0</v>
      </c>
      <c r="P685" s="40">
        <f>VLOOKUP(D685,[1]apoio_Preços_MGS!$A$6:$AN$238,21,FALSE)</f>
        <v>0</v>
      </c>
      <c r="Q685" s="40">
        <f>VLOOKUP(D685,[1]apoio_Preços_MGS!$A$6:$AN$238,22,FALSE)</f>
        <v>0</v>
      </c>
      <c r="R685" s="40">
        <f>VLOOKUP(D685,[1]apoio_Preços_MGS!$A$6:$AN$238,23,FALSE)</f>
        <v>0</v>
      </c>
      <c r="S685" s="40">
        <f>VLOOKUP(D685,[1]apoio_Preços_MGS!$A$6:$AN$238,24,FALSE)</f>
        <v>0</v>
      </c>
      <c r="T685" s="40">
        <f>VLOOKUP(D685,[1]apoio_Preços_MGS!$A$6:$AN$238,25,FALSE)</f>
        <v>0</v>
      </c>
      <c r="U685" s="40">
        <f t="shared" si="340"/>
        <v>3580.5243988928501</v>
      </c>
      <c r="V685" s="41">
        <v>0.81799999999999995</v>
      </c>
      <c r="W685" s="40">
        <f t="shared" si="341"/>
        <v>2928.8689582943512</v>
      </c>
      <c r="X685" s="40">
        <f>VLOOKUP(D685,[1]apoio_Preços_MGS!$A$6:$AN$238,29,FALSE)</f>
        <v>19.18</v>
      </c>
      <c r="Y685" s="40">
        <f>VLOOKUP(D685,[1]apoio_Preços_MGS!$A$6:$AN$238,30,FALSE)</f>
        <v>52.615447885447871</v>
      </c>
      <c r="Z685" s="40">
        <f t="shared" si="346"/>
        <v>71.795447885447871</v>
      </c>
      <c r="AA685" s="40">
        <f>VLOOKUP(D685,[1]apoio_Preços_MGS!$A$6:$AN$238,32,FALSE)</f>
        <v>5.2881591122109777</v>
      </c>
      <c r="AB685" s="40">
        <f>VLOOKUP(D685,[1]apoio_Preços_MGS!$A$6:$AN$238,33,FALSE)</f>
        <v>201.79439560439556</v>
      </c>
      <c r="AC685" s="41">
        <f>VLOOKUP(D685,[1]apoio_Preços_MGS!$A$6:$AN$238,34,FALSE)</f>
        <v>3.2904213048597905E-2</v>
      </c>
      <c r="AD685" s="40">
        <f>(U685+W685+Z685+AB685+AA685+VLOOKUP(C685,[1]apoio_Prec_Folha!$A:$S,7,FALSE))*AC685</f>
        <v>241.43203949136279</v>
      </c>
      <c r="AE685" s="42">
        <f>VLOOKUP(D685,[1]apoio_Preços_MGS!$A$6:$AN$238,36,FALSE)</f>
        <v>7.0000000000000007E-2</v>
      </c>
      <c r="AF685" s="40">
        <f>(U685+W685+Z685+AB685+AD685+AA685+VLOOKUP(C685,[1]apoio_Prec_Folha!$A:$S,7,FALSE))*AE685</f>
        <v>530.51966102656661</v>
      </c>
      <c r="AG685" s="40">
        <f t="shared" si="347"/>
        <v>7560.22</v>
      </c>
      <c r="AH685" s="43">
        <f t="shared" si="348"/>
        <v>8664.99</v>
      </c>
      <c r="AI685" s="43">
        <f t="shared" si="349"/>
        <v>8664.99</v>
      </c>
      <c r="AJ685" s="43">
        <f t="shared" si="350"/>
        <v>519899.39999999997</v>
      </c>
      <c r="AK685" s="44">
        <f>VLOOKUP(D685,[1]apoio_Preços_MGS!$A$6:$AN$238,39,FALSE)</f>
        <v>200.00000000000003</v>
      </c>
      <c r="AL685" s="44">
        <f>IF(J685="demais municípios",VLOOKUP(D685,[1]apoio_Preços_MGS!$A$6:$AN$238,39,FALSE),0)</f>
        <v>200.00000000000003</v>
      </c>
      <c r="AM685" s="44">
        <v>0</v>
      </c>
      <c r="AN685" s="45">
        <f t="shared" si="353"/>
        <v>200.00000000000003</v>
      </c>
      <c r="AO685" s="44">
        <f>VLOOKUP(D685,[1]apoio_Preços_MGS!$A$6:$AN$238,40,FALSE)</f>
        <v>549.14</v>
      </c>
      <c r="AP685" s="44">
        <f>IF(J685="demais municípios",VLOOKUP(D685,[1]apoio_Preços_MGS!$A$6:$AN$238,40,FALSE),0)</f>
        <v>549.14</v>
      </c>
      <c r="AQ685" s="44">
        <v>0</v>
      </c>
      <c r="AR685" s="45">
        <f t="shared" si="354"/>
        <v>549.14</v>
      </c>
      <c r="AS685" s="45">
        <f t="shared" si="333"/>
        <v>749.14</v>
      </c>
      <c r="AT685" s="45">
        <f t="shared" si="335"/>
        <v>44948.4</v>
      </c>
      <c r="AU685" s="62"/>
      <c r="AV685" s="46"/>
      <c r="AW685" s="47"/>
      <c r="AX685" s="48"/>
      <c r="AY685" s="49"/>
      <c r="BA685" s="48"/>
    </row>
    <row r="686" spans="1:53" ht="19.5" customHeight="1" x14ac:dyDescent="0.25">
      <c r="A686" s="33" t="str">
        <f t="shared" si="331"/>
        <v>106267440,04</v>
      </c>
      <c r="B686" s="33" t="str">
        <f t="shared" si="332"/>
        <v>1270,04</v>
      </c>
      <c r="C686" s="34" t="str">
        <f>VLOOKUP(D686,[1]apoio_Preços_MGS!$A$6:$B$238,2,FALSE)</f>
        <v>TRABALHADOR DA MANUTENÇÃO PREDIAL E INSTALAÇÕES</v>
      </c>
      <c r="D686" s="35">
        <v>127</v>
      </c>
      <c r="E686" s="33" t="str">
        <f>VLOOKUP(D686,[1]apoio_Preços_MGS!$A$6:$F$238,6,FALSE)</f>
        <v>TRABALHADOR DA MANUTENÇÃO PREDIAL E INSTALAÇÕES - (PERIC.) - DIARISTA DIURNO - 44H</v>
      </c>
      <c r="F686" s="36">
        <f>IFERROR(VLOOKUP(D686,'[1]apoio_cód catmas'!$B$2:$C$863,2,FALSE),0)</f>
        <v>106267</v>
      </c>
      <c r="G686" s="33" t="str">
        <f>IF(H686="N/A",VLOOKUP(F686&amp;40,'[1]apoio_cód catmas'!$A$1:$G$233,4,FALSE),VLOOKUP(F686&amp;H686,'[1]apoio_cód catmas'!$A$1:$G$233,4,FALSE))</f>
        <v>TRABALHADOR DA MANUTENCAO  PREDIAL E INSTALACOES (PERICULOSIDADE) - 40H OU 44H</v>
      </c>
      <c r="H686" s="36">
        <v>44</v>
      </c>
      <c r="I686" s="37">
        <v>0.04</v>
      </c>
      <c r="J686" s="38" t="s">
        <v>46</v>
      </c>
      <c r="K686" s="39">
        <v>6</v>
      </c>
      <c r="L686" s="39">
        <f t="shared" si="334"/>
        <v>360</v>
      </c>
      <c r="M686" s="40">
        <f>VLOOKUP(D686,[1]apoio_Preços_MGS!$A$6:$AN$238,18,FALSE)</f>
        <v>2754.2495376098846</v>
      </c>
      <c r="N686" s="40">
        <f>VLOOKUP(D686,[1]apoio_Preços_MGS!$A$6:$AN$238,19,FALSE)</f>
        <v>826.27486128296539</v>
      </c>
      <c r="O686" s="40">
        <f>VLOOKUP(D686,[1]apoio_Preços_MGS!$A$6:$AN$238,20,FALSE)</f>
        <v>0</v>
      </c>
      <c r="P686" s="40">
        <f>VLOOKUP(D686,[1]apoio_Preços_MGS!$A$6:$AN$238,21,FALSE)</f>
        <v>0</v>
      </c>
      <c r="Q686" s="40">
        <f>VLOOKUP(D686,[1]apoio_Preços_MGS!$A$6:$AN$238,22,FALSE)</f>
        <v>0</v>
      </c>
      <c r="R686" s="40">
        <f>VLOOKUP(D686,[1]apoio_Preços_MGS!$A$6:$AN$238,23,FALSE)</f>
        <v>0</v>
      </c>
      <c r="S686" s="40">
        <f>VLOOKUP(D686,[1]apoio_Preços_MGS!$A$6:$AN$238,24,FALSE)</f>
        <v>0</v>
      </c>
      <c r="T686" s="40">
        <f>VLOOKUP(D686,[1]apoio_Preços_MGS!$A$6:$AN$238,25,FALSE)</f>
        <v>0</v>
      </c>
      <c r="U686" s="40">
        <f t="shared" si="340"/>
        <v>3580.5243988928501</v>
      </c>
      <c r="V686" s="41">
        <v>0.81799999999999995</v>
      </c>
      <c r="W686" s="40">
        <f t="shared" si="341"/>
        <v>2928.8689582943512</v>
      </c>
      <c r="X686" s="40">
        <f>VLOOKUP(D686,[1]apoio_Preços_MGS!$A$6:$AN$238,29,FALSE)</f>
        <v>19.18</v>
      </c>
      <c r="Y686" s="40">
        <f>VLOOKUP(D686,[1]apoio_Preços_MGS!$A$6:$AN$238,30,FALSE)</f>
        <v>52.615447885447871</v>
      </c>
      <c r="Z686" s="40">
        <f t="shared" si="346"/>
        <v>71.795447885447871</v>
      </c>
      <c r="AA686" s="40">
        <f>VLOOKUP(D686,[1]apoio_Preços_MGS!$A$6:$AN$238,32,FALSE)</f>
        <v>5.2881591122109777</v>
      </c>
      <c r="AB686" s="40">
        <f>VLOOKUP(D686,[1]apoio_Preços_MGS!$A$6:$AN$238,33,FALSE)</f>
        <v>201.79439560439556</v>
      </c>
      <c r="AC686" s="41">
        <f>VLOOKUP(D686,[1]apoio_Preços_MGS!$A$6:$AN$238,34,FALSE)</f>
        <v>3.2904213048597905E-2</v>
      </c>
      <c r="AD686" s="40">
        <f>(U686+W686+Z686+AB686+AA686+VLOOKUP(C686,[1]apoio_Prec_Folha!$A:$S,7,FALSE))*AC686</f>
        <v>241.43203949136279</v>
      </c>
      <c r="AE686" s="42">
        <f>VLOOKUP(D686,[1]apoio_Preços_MGS!$A$6:$AN$238,36,FALSE)</f>
        <v>7.0000000000000007E-2</v>
      </c>
      <c r="AF686" s="40">
        <f>(U686+W686+Z686+AB686+AD686+AA686+VLOOKUP(C686,[1]apoio_Prec_Folha!$A:$S,7,FALSE))*AE686</f>
        <v>530.51966102656661</v>
      </c>
      <c r="AG686" s="40">
        <f t="shared" si="347"/>
        <v>7560.22</v>
      </c>
      <c r="AH686" s="43">
        <f t="shared" si="348"/>
        <v>8714.9599999999991</v>
      </c>
      <c r="AI686" s="43">
        <f t="shared" si="349"/>
        <v>52289.759999999995</v>
      </c>
      <c r="AJ686" s="43">
        <f t="shared" si="350"/>
        <v>3137385.5999999996</v>
      </c>
      <c r="AK686" s="44">
        <f>VLOOKUP(D686,[1]apoio_Preços_MGS!$A$6:$AN$238,39,FALSE)</f>
        <v>200.00000000000003</v>
      </c>
      <c r="AL686" s="44">
        <f>IF(J686="demais municípios",VLOOKUP(D686,[1]apoio_Preços_MGS!$A$6:$AN$238,39,FALSE),0)</f>
        <v>200.00000000000003</v>
      </c>
      <c r="AM686" s="44">
        <v>0</v>
      </c>
      <c r="AN686" s="45">
        <f t="shared" si="353"/>
        <v>1200.0000000000002</v>
      </c>
      <c r="AO686" s="44">
        <f>VLOOKUP(D686,[1]apoio_Preços_MGS!$A$6:$AN$238,40,FALSE)</f>
        <v>549.14</v>
      </c>
      <c r="AP686" s="44">
        <f>IF(J686="demais municípios",VLOOKUP(D686,[1]apoio_Preços_MGS!$A$6:$AN$238,40,FALSE),0)</f>
        <v>549.14</v>
      </c>
      <c r="AQ686" s="44">
        <v>0</v>
      </c>
      <c r="AR686" s="45">
        <f t="shared" si="354"/>
        <v>3294.84</v>
      </c>
      <c r="AS686" s="45">
        <f t="shared" si="333"/>
        <v>4494.84</v>
      </c>
      <c r="AT686" s="45">
        <f t="shared" si="335"/>
        <v>269690.40000000002</v>
      </c>
      <c r="AU686" s="62"/>
      <c r="AV686" s="46"/>
      <c r="AW686" s="47"/>
      <c r="AX686" s="48"/>
      <c r="AY686" s="49"/>
      <c r="BA686" s="48"/>
    </row>
    <row r="687" spans="1:53" ht="19.5" customHeight="1" x14ac:dyDescent="0.25">
      <c r="A687" s="33" t="str">
        <f t="shared" si="331"/>
        <v>106267440,05</v>
      </c>
      <c r="B687" s="33" t="str">
        <f t="shared" si="332"/>
        <v>1270,05</v>
      </c>
      <c r="C687" s="34" t="str">
        <f>VLOOKUP(D687,[1]apoio_Preços_MGS!$A$6:$B$238,2,FALSE)</f>
        <v>TRABALHADOR DA MANUTENÇÃO PREDIAL E INSTALAÇÕES</v>
      </c>
      <c r="D687" s="35">
        <v>127</v>
      </c>
      <c r="E687" s="33" t="str">
        <f>VLOOKUP(D687,[1]apoio_Preços_MGS!$A$6:$F$238,6,FALSE)</f>
        <v>TRABALHADOR DA MANUTENÇÃO PREDIAL E INSTALAÇÕES - (PERIC.) - DIARISTA DIURNO - 44H</v>
      </c>
      <c r="F687" s="36">
        <f>IFERROR(VLOOKUP(D687,'[1]apoio_cód catmas'!$B$2:$C$863,2,FALSE),0)</f>
        <v>106267</v>
      </c>
      <c r="G687" s="33" t="str">
        <f>IF(H687="N/A",VLOOKUP(F687&amp;40,'[1]apoio_cód catmas'!$A$1:$G$233,4,FALSE),VLOOKUP(F687&amp;H687,'[1]apoio_cód catmas'!$A$1:$G$233,4,FALSE))</f>
        <v>TRABALHADOR DA MANUTENCAO  PREDIAL E INSTALACOES (PERICULOSIDADE) - 40H OU 44H</v>
      </c>
      <c r="H687" s="36">
        <v>44</v>
      </c>
      <c r="I687" s="37">
        <v>0.05</v>
      </c>
      <c r="J687" s="38" t="s">
        <v>46</v>
      </c>
      <c r="K687" s="39">
        <v>1</v>
      </c>
      <c r="L687" s="39">
        <f>K687*56</f>
        <v>56</v>
      </c>
      <c r="M687" s="40">
        <f>VLOOKUP(D687,[1]apoio_Preços_MGS!$A$6:$AN$238,18,FALSE)</f>
        <v>2754.2495376098846</v>
      </c>
      <c r="N687" s="40">
        <f>VLOOKUP(D687,[1]apoio_Preços_MGS!$A$6:$AN$238,19,FALSE)</f>
        <v>826.27486128296539</v>
      </c>
      <c r="O687" s="40">
        <f>VLOOKUP(D687,[1]apoio_Preços_MGS!$A$6:$AN$238,20,FALSE)</f>
        <v>0</v>
      </c>
      <c r="P687" s="40">
        <f>VLOOKUP(D687,[1]apoio_Preços_MGS!$A$6:$AN$238,21,FALSE)</f>
        <v>0</v>
      </c>
      <c r="Q687" s="40">
        <f>VLOOKUP(D687,[1]apoio_Preços_MGS!$A$6:$AN$238,22,FALSE)</f>
        <v>0</v>
      </c>
      <c r="R687" s="40">
        <f>VLOOKUP(D687,[1]apoio_Preços_MGS!$A$6:$AN$238,23,FALSE)</f>
        <v>0</v>
      </c>
      <c r="S687" s="40">
        <f>VLOOKUP(D687,[1]apoio_Preços_MGS!$A$6:$AN$238,24,FALSE)</f>
        <v>0</v>
      </c>
      <c r="T687" s="40">
        <f>VLOOKUP(D687,[1]apoio_Preços_MGS!$A$6:$AN$238,25,FALSE)</f>
        <v>0</v>
      </c>
      <c r="U687" s="40">
        <f t="shared" si="340"/>
        <v>3580.5243988928501</v>
      </c>
      <c r="V687" s="41">
        <v>0.81799999999999995</v>
      </c>
      <c r="W687" s="40">
        <f t="shared" si="341"/>
        <v>2928.8689582943512</v>
      </c>
      <c r="X687" s="40">
        <f>VLOOKUP(D687,[1]apoio_Preços_MGS!$A$6:$AN$238,29,FALSE)</f>
        <v>19.18</v>
      </c>
      <c r="Y687" s="40">
        <f>VLOOKUP(D687,[1]apoio_Preços_MGS!$A$6:$AN$238,30,FALSE)</f>
        <v>52.615447885447871</v>
      </c>
      <c r="Z687" s="40">
        <f t="shared" si="346"/>
        <v>71.795447885447871</v>
      </c>
      <c r="AA687" s="40">
        <f>VLOOKUP(D687,[1]apoio_Preços_MGS!$A$6:$AN$238,32,FALSE)</f>
        <v>5.2881591122109777</v>
      </c>
      <c r="AB687" s="40">
        <f>VLOOKUP(D687,[1]apoio_Preços_MGS!$A$6:$AN$238,33,FALSE)</f>
        <v>201.79439560439556</v>
      </c>
      <c r="AC687" s="41">
        <f>VLOOKUP(D687,[1]apoio_Preços_MGS!$A$6:$AN$238,34,FALSE)</f>
        <v>3.2904213048597905E-2</v>
      </c>
      <c r="AD687" s="40">
        <f>(U687+W687+Z687+AB687+AA687+VLOOKUP(C687,[1]apoio_Prec_Folha!$A:$S,7,FALSE))*AC687</f>
        <v>241.43203949136279</v>
      </c>
      <c r="AE687" s="42">
        <f>VLOOKUP(D687,[1]apoio_Preços_MGS!$A$6:$AN$238,36,FALSE)</f>
        <v>7.0000000000000007E-2</v>
      </c>
      <c r="AF687" s="40">
        <f>(U687+W687+Z687+AB687+AD687+AA687+VLOOKUP(C687,[1]apoio_Prec_Folha!$A:$S,7,FALSE))*AE687</f>
        <v>530.51966102656661</v>
      </c>
      <c r="AG687" s="40">
        <f t="shared" si="347"/>
        <v>7560.22</v>
      </c>
      <c r="AH687" s="43">
        <f t="shared" si="348"/>
        <v>8816.57</v>
      </c>
      <c r="AI687" s="43">
        <f t="shared" si="349"/>
        <v>8816.57</v>
      </c>
      <c r="AJ687" s="43">
        <f t="shared" si="350"/>
        <v>493727.92</v>
      </c>
      <c r="AK687" s="44">
        <f>VLOOKUP(D687,[1]apoio_Preços_MGS!$A$6:$AN$238,39,FALSE)</f>
        <v>200.00000000000003</v>
      </c>
      <c r="AL687" s="44">
        <f>IF(J687="demais municípios",VLOOKUP(D687,[1]apoio_Preços_MGS!$A$6:$AN$238,39,FALSE),0)</f>
        <v>200.00000000000003</v>
      </c>
      <c r="AM687" s="44">
        <v>0</v>
      </c>
      <c r="AN687" s="45">
        <f t="shared" si="353"/>
        <v>200.00000000000003</v>
      </c>
      <c r="AO687" s="44">
        <f>VLOOKUP(D687,[1]apoio_Preços_MGS!$A$6:$AN$238,40,FALSE)</f>
        <v>549.14</v>
      </c>
      <c r="AP687" s="44">
        <f>IF(J687="demais municípios",VLOOKUP(D687,[1]apoio_Preços_MGS!$A$6:$AN$238,40,FALSE),0)</f>
        <v>549.14</v>
      </c>
      <c r="AQ687" s="44">
        <v>0</v>
      </c>
      <c r="AR687" s="45">
        <f t="shared" si="354"/>
        <v>549.14</v>
      </c>
      <c r="AS687" s="45">
        <f t="shared" si="333"/>
        <v>749.14</v>
      </c>
      <c r="AT687" s="45">
        <f t="shared" si="335"/>
        <v>44948.4</v>
      </c>
      <c r="AU687" s="62"/>
      <c r="AV687" s="46"/>
      <c r="AW687" s="47"/>
      <c r="AX687" s="48"/>
      <c r="AY687" s="49"/>
      <c r="BA687" s="48"/>
    </row>
    <row r="688" spans="1:53" ht="19.5" customHeight="1" x14ac:dyDescent="0.25">
      <c r="A688" s="33" t="str">
        <f t="shared" si="331"/>
        <v>106267440,05</v>
      </c>
      <c r="B688" s="33" t="str">
        <f t="shared" si="332"/>
        <v>1270,05</v>
      </c>
      <c r="C688" s="34" t="str">
        <f>VLOOKUP(D688,[1]apoio_Preços_MGS!$A$6:$B$238,2,FALSE)</f>
        <v>TRABALHADOR DA MANUTENÇÃO PREDIAL E INSTALAÇÕES</v>
      </c>
      <c r="D688" s="35">
        <v>127</v>
      </c>
      <c r="E688" s="33" t="str">
        <f>VLOOKUP(D688,[1]apoio_Preços_MGS!$A$6:$F$238,6,FALSE)</f>
        <v>TRABALHADOR DA MANUTENÇÃO PREDIAL E INSTALAÇÕES - (PERIC.) - DIARISTA DIURNO - 44H</v>
      </c>
      <c r="F688" s="36">
        <f>IFERROR(VLOOKUP(D688,'[1]apoio_cód catmas'!$B$2:$C$863,2,FALSE),0)</f>
        <v>106267</v>
      </c>
      <c r="G688" s="33" t="str">
        <f>IF(H688="N/A",VLOOKUP(F688&amp;40,'[1]apoio_cód catmas'!$A$1:$G$233,4,FALSE),VLOOKUP(F688&amp;H688,'[1]apoio_cód catmas'!$A$1:$G$233,4,FALSE))</f>
        <v>TRABALHADOR DA MANUTENCAO  PREDIAL E INSTALACOES (PERICULOSIDADE) - 40H OU 44H</v>
      </c>
      <c r="H688" s="36">
        <v>44</v>
      </c>
      <c r="I688" s="37">
        <v>0.05</v>
      </c>
      <c r="J688" s="38" t="s">
        <v>46</v>
      </c>
      <c r="K688" s="39">
        <f>38-K689</f>
        <v>10</v>
      </c>
      <c r="L688" s="39">
        <f t="shared" si="334"/>
        <v>600</v>
      </c>
      <c r="M688" s="40">
        <f>VLOOKUP(D688,[1]apoio_Preços_MGS!$A$6:$AN$238,18,FALSE)</f>
        <v>2754.2495376098846</v>
      </c>
      <c r="N688" s="40">
        <f>VLOOKUP(D688,[1]apoio_Preços_MGS!$A$6:$AN$238,19,FALSE)</f>
        <v>826.27486128296539</v>
      </c>
      <c r="O688" s="40">
        <f>VLOOKUP(D688,[1]apoio_Preços_MGS!$A$6:$AN$238,20,FALSE)</f>
        <v>0</v>
      </c>
      <c r="P688" s="40">
        <f>VLOOKUP(D688,[1]apoio_Preços_MGS!$A$6:$AN$238,21,FALSE)</f>
        <v>0</v>
      </c>
      <c r="Q688" s="40">
        <f>VLOOKUP(D688,[1]apoio_Preços_MGS!$A$6:$AN$238,22,FALSE)</f>
        <v>0</v>
      </c>
      <c r="R688" s="40">
        <f>VLOOKUP(D688,[1]apoio_Preços_MGS!$A$6:$AN$238,23,FALSE)</f>
        <v>0</v>
      </c>
      <c r="S688" s="40">
        <f>VLOOKUP(D688,[1]apoio_Preços_MGS!$A$6:$AN$238,24,FALSE)</f>
        <v>0</v>
      </c>
      <c r="T688" s="40">
        <f>VLOOKUP(D688,[1]apoio_Preços_MGS!$A$6:$AN$238,25,FALSE)</f>
        <v>0</v>
      </c>
      <c r="U688" s="40">
        <f t="shared" si="340"/>
        <v>3580.5243988928501</v>
      </c>
      <c r="V688" s="41">
        <v>0.81799999999999995</v>
      </c>
      <c r="W688" s="40">
        <f t="shared" si="341"/>
        <v>2928.8689582943512</v>
      </c>
      <c r="X688" s="40">
        <f>VLOOKUP(D688,[1]apoio_Preços_MGS!$A$6:$AN$238,29,FALSE)</f>
        <v>19.18</v>
      </c>
      <c r="Y688" s="40">
        <f>VLOOKUP(D688,[1]apoio_Preços_MGS!$A$6:$AN$238,30,FALSE)</f>
        <v>52.615447885447871</v>
      </c>
      <c r="Z688" s="40">
        <f t="shared" si="346"/>
        <v>71.795447885447871</v>
      </c>
      <c r="AA688" s="40">
        <f>VLOOKUP(D688,[1]apoio_Preços_MGS!$A$6:$AN$238,32,FALSE)</f>
        <v>5.2881591122109777</v>
      </c>
      <c r="AB688" s="40">
        <f>VLOOKUP(D688,[1]apoio_Preços_MGS!$A$6:$AN$238,33,FALSE)</f>
        <v>201.79439560439556</v>
      </c>
      <c r="AC688" s="41">
        <f>VLOOKUP(D688,[1]apoio_Preços_MGS!$A$6:$AN$238,34,FALSE)</f>
        <v>3.2904213048597905E-2</v>
      </c>
      <c r="AD688" s="40">
        <f>(U688+W688+Z688+AB688+AA688+VLOOKUP(C688,[1]apoio_Prec_Folha!$A:$S,7,FALSE))*AC688</f>
        <v>241.43203949136279</v>
      </c>
      <c r="AE688" s="42">
        <f>VLOOKUP(D688,[1]apoio_Preços_MGS!$A$6:$AN$238,36,FALSE)</f>
        <v>7.0000000000000007E-2</v>
      </c>
      <c r="AF688" s="40">
        <f>(U688+W688+Z688+AB688+AD688+AA688+VLOOKUP(C688,[1]apoio_Prec_Folha!$A:$S,7,FALSE))*AE688</f>
        <v>530.51966102656661</v>
      </c>
      <c r="AG688" s="40">
        <f t="shared" si="347"/>
        <v>7560.22</v>
      </c>
      <c r="AH688" s="43">
        <f t="shared" si="348"/>
        <v>8816.57</v>
      </c>
      <c r="AI688" s="43">
        <f t="shared" si="349"/>
        <v>88165.7</v>
      </c>
      <c r="AJ688" s="43">
        <f t="shared" si="350"/>
        <v>5289942</v>
      </c>
      <c r="AK688" s="44">
        <f>VLOOKUP(D688,[1]apoio_Preços_MGS!$A$6:$AN$238,39,FALSE)</f>
        <v>200.00000000000003</v>
      </c>
      <c r="AL688" s="44">
        <f>IF(J688="demais municípios",VLOOKUP(D688,[1]apoio_Preços_MGS!$A$6:$AN$238,39,FALSE),0)</f>
        <v>200.00000000000003</v>
      </c>
      <c r="AM688" s="44">
        <v>0</v>
      </c>
      <c r="AN688" s="45">
        <f t="shared" si="353"/>
        <v>2000.0000000000002</v>
      </c>
      <c r="AO688" s="44">
        <f>VLOOKUP(D688,[1]apoio_Preços_MGS!$A$6:$AN$238,40,FALSE)</f>
        <v>549.14</v>
      </c>
      <c r="AP688" s="44">
        <f>IF(J688="demais municípios",VLOOKUP(D688,[1]apoio_Preços_MGS!$A$6:$AN$238,40,FALSE),0)</f>
        <v>549.14</v>
      </c>
      <c r="AQ688" s="44">
        <v>0</v>
      </c>
      <c r="AR688" s="45">
        <f t="shared" si="354"/>
        <v>5491.4</v>
      </c>
      <c r="AS688" s="45">
        <f t="shared" si="333"/>
        <v>7491.4</v>
      </c>
      <c r="AT688" s="45">
        <f t="shared" si="335"/>
        <v>449484</v>
      </c>
      <c r="AU688" s="62"/>
      <c r="AV688" s="46"/>
      <c r="AW688" s="47"/>
      <c r="AX688" s="48"/>
      <c r="AY688" s="49"/>
      <c r="BA688" s="48"/>
    </row>
    <row r="689" spans="1:53" ht="19.5" customHeight="1" x14ac:dyDescent="0.25">
      <c r="A689" s="33" t="str">
        <f t="shared" si="331"/>
        <v>106267440,05</v>
      </c>
      <c r="B689" s="33" t="str">
        <f t="shared" si="332"/>
        <v>1270,05</v>
      </c>
      <c r="C689" s="34" t="str">
        <f>VLOOKUP(D689,[1]apoio_Preços_MGS!$A$6:$B$238,2,FALSE)</f>
        <v>TRABALHADOR DA MANUTENÇÃO PREDIAL E INSTALAÇÕES</v>
      </c>
      <c r="D689" s="35">
        <v>127</v>
      </c>
      <c r="E689" s="33" t="str">
        <f>VLOOKUP(D689,[1]apoio_Preços_MGS!$A$6:$F$238,6,FALSE)</f>
        <v>TRABALHADOR DA MANUTENÇÃO PREDIAL E INSTALAÇÕES - (PERIC.) - DIARISTA DIURNO - 44H</v>
      </c>
      <c r="F689" s="36">
        <f>IFERROR(VLOOKUP(D689,'[1]apoio_cód catmas'!$B$2:$C$863,2,FALSE),0)</f>
        <v>106267</v>
      </c>
      <c r="G689" s="33" t="str">
        <f>IF(H689="N/A",VLOOKUP(F689&amp;40,'[1]apoio_cód catmas'!$A$1:$G$233,4,FALSE),VLOOKUP(F689&amp;H689,'[1]apoio_cód catmas'!$A$1:$G$233,4,FALSE))</f>
        <v>TRABALHADOR DA MANUTENCAO  PREDIAL E INSTALACOES (PERICULOSIDADE) - 40H OU 44H</v>
      </c>
      <c r="H689" s="36">
        <v>44</v>
      </c>
      <c r="I689" s="37">
        <v>0.05</v>
      </c>
      <c r="J689" s="38" t="s">
        <v>47</v>
      </c>
      <c r="K689" s="39">
        <v>28</v>
      </c>
      <c r="L689" s="39">
        <f t="shared" si="334"/>
        <v>1680</v>
      </c>
      <c r="M689" s="40">
        <f>VLOOKUP(D689,[1]apoio_Preços_MGS!$A$6:$AN$238,18,FALSE)</f>
        <v>2754.2495376098846</v>
      </c>
      <c r="N689" s="40">
        <f>VLOOKUP(D689,[1]apoio_Preços_MGS!$A$6:$AN$238,19,FALSE)</f>
        <v>826.27486128296539</v>
      </c>
      <c r="O689" s="40">
        <f>VLOOKUP(D689,[1]apoio_Preços_MGS!$A$6:$AN$238,20,FALSE)</f>
        <v>0</v>
      </c>
      <c r="P689" s="40">
        <f>VLOOKUP(D689,[1]apoio_Preços_MGS!$A$6:$AN$238,21,FALSE)</f>
        <v>0</v>
      </c>
      <c r="Q689" s="40">
        <f>VLOOKUP(D689,[1]apoio_Preços_MGS!$A$6:$AN$238,22,FALSE)</f>
        <v>0</v>
      </c>
      <c r="R689" s="40">
        <f>VLOOKUP(D689,[1]apoio_Preços_MGS!$A$6:$AN$238,23,FALSE)</f>
        <v>0</v>
      </c>
      <c r="S689" s="40">
        <f>VLOOKUP(D689,[1]apoio_Preços_MGS!$A$6:$AN$238,24,FALSE)</f>
        <v>0</v>
      </c>
      <c r="T689" s="40">
        <f>VLOOKUP(D689,[1]apoio_Preços_MGS!$A$6:$AN$238,25,FALSE)</f>
        <v>0</v>
      </c>
      <c r="U689" s="40">
        <f t="shared" si="340"/>
        <v>3580.5243988928501</v>
      </c>
      <c r="V689" s="41">
        <v>0.81799999999999995</v>
      </c>
      <c r="W689" s="40">
        <f t="shared" si="341"/>
        <v>2928.8689582943512</v>
      </c>
      <c r="X689" s="40">
        <f>VLOOKUP(D689,[1]apoio_Preços_MGS!$A$6:$AN$238,29,FALSE)</f>
        <v>19.18</v>
      </c>
      <c r="Y689" s="40">
        <f>VLOOKUP(D689,[1]apoio_Preços_MGS!$A$6:$AN$238,30,FALSE)</f>
        <v>52.615447885447871</v>
      </c>
      <c r="Z689" s="40">
        <f t="shared" si="346"/>
        <v>71.795447885447871</v>
      </c>
      <c r="AA689" s="40">
        <f>VLOOKUP(D689,[1]apoio_Preços_MGS!$A$6:$AN$238,32,FALSE)</f>
        <v>5.2881591122109777</v>
      </c>
      <c r="AB689" s="40">
        <f>VLOOKUP(D689,[1]apoio_Preços_MGS!$A$6:$AN$238,33,FALSE)</f>
        <v>201.79439560439556</v>
      </c>
      <c r="AC689" s="41">
        <f>VLOOKUP(D689,[1]apoio_Preços_MGS!$A$6:$AN$238,34,FALSE)</f>
        <v>3.2904213048597905E-2</v>
      </c>
      <c r="AD689" s="40">
        <f>(U689+W689+Z689+AB689+AA689+VLOOKUP(C689,[1]apoio_Prec_Folha!$A:$S,7,FALSE))*AC689</f>
        <v>241.43203949136279</v>
      </c>
      <c r="AE689" s="42">
        <f>VLOOKUP(D689,[1]apoio_Preços_MGS!$A$6:$AN$238,36,FALSE)</f>
        <v>7.0000000000000007E-2</v>
      </c>
      <c r="AF689" s="40">
        <f>(U689+W689+Z689+AB689+AD689+AA689+VLOOKUP(C689,[1]apoio_Prec_Folha!$A:$S,7,FALSE))*AE689</f>
        <v>530.51966102656661</v>
      </c>
      <c r="AG689" s="40">
        <f t="shared" si="347"/>
        <v>7560.22</v>
      </c>
      <c r="AH689" s="43">
        <f t="shared" si="348"/>
        <v>8816.57</v>
      </c>
      <c r="AI689" s="43">
        <f t="shared" si="349"/>
        <v>246863.96</v>
      </c>
      <c r="AJ689" s="43">
        <f t="shared" si="350"/>
        <v>14811837.6</v>
      </c>
      <c r="AK689" s="44">
        <f>VLOOKUP(D689,[1]apoio_Preços_MGS!$A$6:$AN$238,39,FALSE)</f>
        <v>200.00000000000003</v>
      </c>
      <c r="AL689" s="44">
        <f>IF(J689="demais municípios",VLOOKUP(D689,[1]apoio_Preços_MGS!$A$6:$AN$238,39,FALSE),0)</f>
        <v>0</v>
      </c>
      <c r="AM689" s="44">
        <f>TRUNC(ROUND(($I689)/(1-($I689)),5)*VLOOKUP(D689,[1]apoio_Preços_MGS!$A$6:$AN$238,39,FALSE)+VLOOKUP(D689,[1]apoio_Preços_MGS!$A$6:$AN$238,39,FALSE),2)</f>
        <v>210.52</v>
      </c>
      <c r="AN689" s="45">
        <f t="shared" si="336"/>
        <v>5894.56</v>
      </c>
      <c r="AO689" s="44">
        <f>VLOOKUP(D689,[1]apoio_Preços_MGS!$A$6:$AN$238,40,FALSE)</f>
        <v>549.14</v>
      </c>
      <c r="AP689" s="44">
        <f>IF(J689="demais municípios",VLOOKUP(D689,[1]apoio_Preços_MGS!$A$6:$AN$238,40,FALSE),0)</f>
        <v>0</v>
      </c>
      <c r="AQ689" s="44">
        <f>TRUNC(ROUND(($I689)/(1-($I689)),5)*VLOOKUP(D689,[1]apoio_Preços_MGS!$A$6:$AN$238,40,FALSE)+VLOOKUP(D689,[1]apoio_Preços_MGS!$A$6:$AN$238,40,FALSE),2)</f>
        <v>578.04</v>
      </c>
      <c r="AR689" s="45">
        <f t="shared" si="337"/>
        <v>16185.119999999999</v>
      </c>
      <c r="AS689" s="45">
        <f t="shared" si="333"/>
        <v>22079.68</v>
      </c>
      <c r="AT689" s="45">
        <f t="shared" si="335"/>
        <v>1324780.8</v>
      </c>
      <c r="AU689" s="62"/>
      <c r="AV689" s="46"/>
      <c r="AW689" s="47"/>
      <c r="AX689" s="48"/>
      <c r="AY689" s="49"/>
      <c r="BA689" s="48"/>
    </row>
    <row r="690" spans="1:53" ht="19.5" customHeight="1" x14ac:dyDescent="0.25">
      <c r="A690" s="33" t="str">
        <f t="shared" si="331"/>
        <v>106275440,02</v>
      </c>
      <c r="B690" s="33" t="str">
        <f t="shared" si="332"/>
        <v>1260,02</v>
      </c>
      <c r="C690" s="34" t="str">
        <f>VLOOKUP(D690,[1]apoio_Preços_MGS!$A$6:$B$238,2,FALSE)</f>
        <v>TRABALHADOR DA MANUTENÇÃO PREDIAL E INSTALAÇÕES</v>
      </c>
      <c r="D690" s="35">
        <v>126</v>
      </c>
      <c r="E690" s="33" t="str">
        <f>VLOOKUP(D690,[1]apoio_Preços_MGS!$A$6:$F$238,6,FALSE)</f>
        <v>TRABALHADOR DA MANUTENÇÃO PREDIAL E INSTALAÇÕES - 12x36 DIURNO - 44H</v>
      </c>
      <c r="F690" s="36">
        <f>IFERROR(VLOOKUP(D690,'[1]apoio_cód catmas'!$B$2:$C$863,2,FALSE),0)</f>
        <v>106275</v>
      </c>
      <c r="G690" s="33" t="str">
        <f>IF(H690="N/A",VLOOKUP(F690&amp;40,'[1]apoio_cód catmas'!$A$1:$G$233,4,FALSE),VLOOKUP(F690&amp;H690,'[1]apoio_cód catmas'!$A$1:$G$233,4,FALSE))</f>
        <v>TRABALHADOR DA MANUTENÇÃO PREDIAL E INSTALAÇÕES - 12X36 DIURNO - 44H</v>
      </c>
      <c r="H690" s="36">
        <v>44</v>
      </c>
      <c r="I690" s="37">
        <v>0.02</v>
      </c>
      <c r="J690" s="38" t="s">
        <v>46</v>
      </c>
      <c r="K690" s="39">
        <v>4</v>
      </c>
      <c r="L690" s="39">
        <f t="shared" si="334"/>
        <v>240</v>
      </c>
      <c r="M690" s="40">
        <f>VLOOKUP(D690,[1]apoio_Preços_MGS!$A$6:$AN$238,18,FALSE)</f>
        <v>2754.2495376098846</v>
      </c>
      <c r="N690" s="40">
        <f>VLOOKUP(D690,[1]apoio_Preços_MGS!$A$6:$AN$238,19,FALSE)</f>
        <v>0</v>
      </c>
      <c r="O690" s="40">
        <f>VLOOKUP(D690,[1]apoio_Preços_MGS!$A$6:$AN$238,20,FALSE)</f>
        <v>0</v>
      </c>
      <c r="P690" s="40">
        <f>VLOOKUP(D690,[1]apoio_Preços_MGS!$A$6:$AN$238,21,FALSE)</f>
        <v>0</v>
      </c>
      <c r="Q690" s="40">
        <f>VLOOKUP(D690,[1]apoio_Preços_MGS!$A$6:$AN$238,22,FALSE)</f>
        <v>0</v>
      </c>
      <c r="R690" s="40">
        <f>VLOOKUP(D690,[1]apoio_Preços_MGS!$A$6:$AN$238,23,FALSE)</f>
        <v>0</v>
      </c>
      <c r="S690" s="40">
        <f>VLOOKUP(D690,[1]apoio_Preços_MGS!$A$6:$AN$238,24,FALSE)</f>
        <v>0</v>
      </c>
      <c r="T690" s="40">
        <f>VLOOKUP(D690,[1]apoio_Preços_MGS!$A$6:$AN$238,25,FALSE)</f>
        <v>3.8253465800137287</v>
      </c>
      <c r="U690" s="40">
        <f t="shared" si="340"/>
        <v>2758.0748841898981</v>
      </c>
      <c r="V690" s="41">
        <v>0.81799999999999995</v>
      </c>
      <c r="W690" s="40">
        <f t="shared" si="341"/>
        <v>2256.1052552673364</v>
      </c>
      <c r="X690" s="40">
        <f>VLOOKUP(D690,[1]apoio_Preços_MGS!$A$6:$AN$238,29,FALSE)</f>
        <v>19.18</v>
      </c>
      <c r="Y690" s="40">
        <f>VLOOKUP(D690,[1]apoio_Preços_MGS!$A$6:$AN$238,30,FALSE)</f>
        <v>52.615447885447871</v>
      </c>
      <c r="Z690" s="40">
        <f t="shared" si="346"/>
        <v>71.795447885447871</v>
      </c>
      <c r="AA690" s="40">
        <f>VLOOKUP(D690,[1]apoio_Preços_MGS!$A$6:$AN$238,32,FALSE)</f>
        <v>5.2881591122109777</v>
      </c>
      <c r="AB690" s="40">
        <f>VLOOKUP(D690,[1]apoio_Preços_MGS!$A$6:$AN$238,33,FALSE)</f>
        <v>201.79439560439556</v>
      </c>
      <c r="AC690" s="41">
        <f>VLOOKUP(D690,[1]apoio_Preços_MGS!$A$6:$AN$238,34,FALSE)</f>
        <v>3.2904213048597905E-2</v>
      </c>
      <c r="AD690" s="40">
        <f>(U690+W690+Z690+AB690+AA690+VLOOKUP(C690,[1]apoio_Prec_Folha!$A:$S,7,FALSE))*AC690</f>
        <v>192.23322522209634</v>
      </c>
      <c r="AE690" s="42">
        <f>VLOOKUP(D690,[1]apoio_Preços_MGS!$A$6:$AN$238,36,FALSE)</f>
        <v>7.0000000000000007E-2</v>
      </c>
      <c r="AF690" s="40">
        <f>(U690+W690+Z690+AB690+AD690+AA690+VLOOKUP(C690,[1]apoio_Prec_Folha!$A:$S,7,FALSE))*AE690</f>
        <v>422.41081878662021</v>
      </c>
      <c r="AG690" s="40">
        <f t="shared" si="347"/>
        <v>5907.7</v>
      </c>
      <c r="AH690" s="43">
        <f t="shared" si="348"/>
        <v>6656.56</v>
      </c>
      <c r="AI690" s="43">
        <f t="shared" si="349"/>
        <v>26626.240000000002</v>
      </c>
      <c r="AJ690" s="43">
        <f t="shared" si="350"/>
        <v>1597574.4000000001</v>
      </c>
      <c r="AK690" s="44">
        <f>VLOOKUP(D690,[1]apoio_Preços_MGS!$A$6:$AN$238,39,FALSE)</f>
        <v>200.00000000000003</v>
      </c>
      <c r="AL690" s="44">
        <f>IF(J690="demais municípios",VLOOKUP(D690,[1]apoio_Preços_MGS!$A$6:$AN$238,39,FALSE),0)</f>
        <v>200.00000000000003</v>
      </c>
      <c r="AM690" s="44">
        <v>0</v>
      </c>
      <c r="AN690" s="45">
        <f t="shared" ref="AN690:AN692" si="355">AK690*K690</f>
        <v>800.00000000000011</v>
      </c>
      <c r="AO690" s="44">
        <f>VLOOKUP(D690,[1]apoio_Preços_MGS!$A$6:$AN$238,40,FALSE)</f>
        <v>549.14</v>
      </c>
      <c r="AP690" s="44">
        <f>IF(J690="demais municípios",VLOOKUP(D690,[1]apoio_Preços_MGS!$A$6:$AN$238,40,FALSE),0)</f>
        <v>549.14</v>
      </c>
      <c r="AQ690" s="44">
        <v>0</v>
      </c>
      <c r="AR690" s="45">
        <f t="shared" ref="AR690:AR692" si="356">AO690*K690</f>
        <v>2196.56</v>
      </c>
      <c r="AS690" s="45">
        <f t="shared" si="333"/>
        <v>2996.56</v>
      </c>
      <c r="AT690" s="45">
        <f t="shared" si="335"/>
        <v>179793.6</v>
      </c>
      <c r="AU690" s="62"/>
      <c r="AV690" s="46"/>
      <c r="AW690" s="47"/>
      <c r="AX690" s="48"/>
      <c r="AY690" s="49"/>
      <c r="BA690" s="48"/>
    </row>
    <row r="691" spans="1:53" ht="19.5" customHeight="1" x14ac:dyDescent="0.25">
      <c r="A691" s="33" t="str">
        <f t="shared" si="331"/>
        <v>106275440,03</v>
      </c>
      <c r="B691" s="33" t="str">
        <f t="shared" si="332"/>
        <v>1260,03</v>
      </c>
      <c r="C691" s="34" t="str">
        <f>VLOOKUP(D691,[1]apoio_Preços_MGS!$A$6:$B$238,2,FALSE)</f>
        <v>TRABALHADOR DA MANUTENÇÃO PREDIAL E INSTALAÇÕES</v>
      </c>
      <c r="D691" s="35">
        <v>126</v>
      </c>
      <c r="E691" s="33" t="str">
        <f>VLOOKUP(D691,[1]apoio_Preços_MGS!$A$6:$F$238,6,FALSE)</f>
        <v>TRABALHADOR DA MANUTENÇÃO PREDIAL E INSTALAÇÕES - 12x36 DIURNO - 44H</v>
      </c>
      <c r="F691" s="36">
        <f>IFERROR(VLOOKUP(D691,'[1]apoio_cód catmas'!$B$2:$C$863,2,FALSE),0)</f>
        <v>106275</v>
      </c>
      <c r="G691" s="33" t="str">
        <f>IF(H691="N/A",VLOOKUP(F691&amp;40,'[1]apoio_cód catmas'!$A$1:$G$233,4,FALSE),VLOOKUP(F691&amp;H691,'[1]apoio_cód catmas'!$A$1:$G$233,4,FALSE))</f>
        <v>TRABALHADOR DA MANUTENÇÃO PREDIAL E INSTALAÇÕES - 12X36 DIURNO - 44H</v>
      </c>
      <c r="H691" s="36">
        <v>44</v>
      </c>
      <c r="I691" s="37">
        <v>0.03</v>
      </c>
      <c r="J691" s="38" t="s">
        <v>46</v>
      </c>
      <c r="K691" s="39">
        <v>8</v>
      </c>
      <c r="L691" s="39">
        <f t="shared" si="334"/>
        <v>480</v>
      </c>
      <c r="M691" s="40">
        <f>VLOOKUP(D691,[1]apoio_Preços_MGS!$A$6:$AN$238,18,FALSE)</f>
        <v>2754.2495376098846</v>
      </c>
      <c r="N691" s="40">
        <f>VLOOKUP(D691,[1]apoio_Preços_MGS!$A$6:$AN$238,19,FALSE)</f>
        <v>0</v>
      </c>
      <c r="O691" s="40">
        <f>VLOOKUP(D691,[1]apoio_Preços_MGS!$A$6:$AN$238,20,FALSE)</f>
        <v>0</v>
      </c>
      <c r="P691" s="40">
        <f>VLOOKUP(D691,[1]apoio_Preços_MGS!$A$6:$AN$238,21,FALSE)</f>
        <v>0</v>
      </c>
      <c r="Q691" s="40">
        <f>VLOOKUP(D691,[1]apoio_Preços_MGS!$A$6:$AN$238,22,FALSE)</f>
        <v>0</v>
      </c>
      <c r="R691" s="40">
        <f>VLOOKUP(D691,[1]apoio_Preços_MGS!$A$6:$AN$238,23,FALSE)</f>
        <v>0</v>
      </c>
      <c r="S691" s="40">
        <f>VLOOKUP(D691,[1]apoio_Preços_MGS!$A$6:$AN$238,24,FALSE)</f>
        <v>0</v>
      </c>
      <c r="T691" s="40">
        <f>VLOOKUP(D691,[1]apoio_Preços_MGS!$A$6:$AN$238,25,FALSE)</f>
        <v>3.8253465800137287</v>
      </c>
      <c r="U691" s="40">
        <f t="shared" si="340"/>
        <v>2758.0748841898981</v>
      </c>
      <c r="V691" s="41">
        <v>0.81799999999999995</v>
      </c>
      <c r="W691" s="40">
        <f t="shared" si="341"/>
        <v>2256.1052552673364</v>
      </c>
      <c r="X691" s="40">
        <f>VLOOKUP(D691,[1]apoio_Preços_MGS!$A$6:$AN$238,29,FALSE)</f>
        <v>19.18</v>
      </c>
      <c r="Y691" s="40">
        <f>VLOOKUP(D691,[1]apoio_Preços_MGS!$A$6:$AN$238,30,FALSE)</f>
        <v>52.615447885447871</v>
      </c>
      <c r="Z691" s="40">
        <f t="shared" si="346"/>
        <v>71.795447885447871</v>
      </c>
      <c r="AA691" s="40">
        <f>VLOOKUP(D691,[1]apoio_Preços_MGS!$A$6:$AN$238,32,FALSE)</f>
        <v>5.2881591122109777</v>
      </c>
      <c r="AB691" s="40">
        <f>VLOOKUP(D691,[1]apoio_Preços_MGS!$A$6:$AN$238,33,FALSE)</f>
        <v>201.79439560439556</v>
      </c>
      <c r="AC691" s="41">
        <f>VLOOKUP(D691,[1]apoio_Preços_MGS!$A$6:$AN$238,34,FALSE)</f>
        <v>3.2904213048597905E-2</v>
      </c>
      <c r="AD691" s="40">
        <f>(U691+W691+Z691+AB691+AA691+VLOOKUP(C691,[1]apoio_Prec_Folha!$A:$S,7,FALSE))*AC691</f>
        <v>192.23322522209634</v>
      </c>
      <c r="AE691" s="42">
        <f>VLOOKUP(D691,[1]apoio_Preços_MGS!$A$6:$AN$238,36,FALSE)</f>
        <v>7.0000000000000007E-2</v>
      </c>
      <c r="AF691" s="40">
        <f>(U691+W691+Z691+AB691+AD691+AA691+VLOOKUP(C691,[1]apoio_Prec_Folha!$A:$S,7,FALSE))*AE691</f>
        <v>422.41081878662021</v>
      </c>
      <c r="AG691" s="40">
        <f t="shared" si="347"/>
        <v>5907.7</v>
      </c>
      <c r="AH691" s="43">
        <f t="shared" si="348"/>
        <v>6732.41</v>
      </c>
      <c r="AI691" s="43">
        <f t="shared" si="349"/>
        <v>53859.28</v>
      </c>
      <c r="AJ691" s="43">
        <f t="shared" si="350"/>
        <v>3231556.8</v>
      </c>
      <c r="AK691" s="44">
        <f>VLOOKUP(D691,[1]apoio_Preços_MGS!$A$6:$AN$238,39,FALSE)</f>
        <v>200.00000000000003</v>
      </c>
      <c r="AL691" s="44">
        <f>IF(J691="demais municípios",VLOOKUP(D691,[1]apoio_Preços_MGS!$A$6:$AN$238,39,FALSE),0)</f>
        <v>200.00000000000003</v>
      </c>
      <c r="AM691" s="44">
        <v>0</v>
      </c>
      <c r="AN691" s="45">
        <f t="shared" si="355"/>
        <v>1600.0000000000002</v>
      </c>
      <c r="AO691" s="44">
        <f>VLOOKUP(D691,[1]apoio_Preços_MGS!$A$6:$AN$238,40,FALSE)</f>
        <v>549.14</v>
      </c>
      <c r="AP691" s="44">
        <f>IF(J691="demais municípios",VLOOKUP(D691,[1]apoio_Preços_MGS!$A$6:$AN$238,40,FALSE),0)</f>
        <v>549.14</v>
      </c>
      <c r="AQ691" s="44">
        <v>0</v>
      </c>
      <c r="AR691" s="45">
        <f t="shared" si="356"/>
        <v>4393.12</v>
      </c>
      <c r="AS691" s="45">
        <f t="shared" si="333"/>
        <v>5993.12</v>
      </c>
      <c r="AT691" s="45">
        <f t="shared" si="335"/>
        <v>359587.2</v>
      </c>
      <c r="AU691" s="62"/>
      <c r="AV691" s="46"/>
      <c r="AW691" s="47"/>
      <c r="AX691" s="48"/>
      <c r="AY691" s="49"/>
      <c r="BA691" s="48"/>
    </row>
    <row r="692" spans="1:53" ht="19.5" customHeight="1" x14ac:dyDescent="0.25">
      <c r="A692" s="33" t="str">
        <f t="shared" si="331"/>
        <v>106275440,035</v>
      </c>
      <c r="B692" s="33" t="str">
        <f t="shared" si="332"/>
        <v>1260,035</v>
      </c>
      <c r="C692" s="34" t="str">
        <f>VLOOKUP(D692,[1]apoio_Preços_MGS!$A$6:$B$238,2,FALSE)</f>
        <v>TRABALHADOR DA MANUTENÇÃO PREDIAL E INSTALAÇÕES</v>
      </c>
      <c r="D692" s="35">
        <v>126</v>
      </c>
      <c r="E692" s="33" t="str">
        <f>VLOOKUP(D692,[1]apoio_Preços_MGS!$A$6:$F$238,6,FALSE)</f>
        <v>TRABALHADOR DA MANUTENÇÃO PREDIAL E INSTALAÇÕES - 12x36 DIURNO - 44H</v>
      </c>
      <c r="F692" s="36">
        <f>IFERROR(VLOOKUP(D692,'[1]apoio_cód catmas'!$B$2:$C$863,2,FALSE),0)</f>
        <v>106275</v>
      </c>
      <c r="G692" s="33" t="str">
        <f>IF(H692="N/A",VLOOKUP(F692&amp;40,'[1]apoio_cód catmas'!$A$1:$G$233,4,FALSE),VLOOKUP(F692&amp;H692,'[1]apoio_cód catmas'!$A$1:$G$233,4,FALSE))</f>
        <v>TRABALHADOR DA MANUTENÇÃO PREDIAL E INSTALAÇÕES - 12X36 DIURNO - 44H</v>
      </c>
      <c r="H692" s="36">
        <v>44</v>
      </c>
      <c r="I692" s="37">
        <v>3.5000000000000003E-2</v>
      </c>
      <c r="J692" s="38" t="s">
        <v>46</v>
      </c>
      <c r="K692" s="39">
        <v>6</v>
      </c>
      <c r="L692" s="39">
        <f t="shared" si="334"/>
        <v>360</v>
      </c>
      <c r="M692" s="40">
        <f>VLOOKUP(D692,[1]apoio_Preços_MGS!$A$6:$AN$238,18,FALSE)</f>
        <v>2754.2495376098846</v>
      </c>
      <c r="N692" s="40">
        <f>VLOOKUP(D692,[1]apoio_Preços_MGS!$A$6:$AN$238,19,FALSE)</f>
        <v>0</v>
      </c>
      <c r="O692" s="40">
        <f>VLOOKUP(D692,[1]apoio_Preços_MGS!$A$6:$AN$238,20,FALSE)</f>
        <v>0</v>
      </c>
      <c r="P692" s="40">
        <f>VLOOKUP(D692,[1]apoio_Preços_MGS!$A$6:$AN$238,21,FALSE)</f>
        <v>0</v>
      </c>
      <c r="Q692" s="40">
        <f>VLOOKUP(D692,[1]apoio_Preços_MGS!$A$6:$AN$238,22,FALSE)</f>
        <v>0</v>
      </c>
      <c r="R692" s="40">
        <f>VLOOKUP(D692,[1]apoio_Preços_MGS!$A$6:$AN$238,23,FALSE)</f>
        <v>0</v>
      </c>
      <c r="S692" s="40">
        <f>VLOOKUP(D692,[1]apoio_Preços_MGS!$A$6:$AN$238,24,FALSE)</f>
        <v>0</v>
      </c>
      <c r="T692" s="40">
        <f>VLOOKUP(D692,[1]apoio_Preços_MGS!$A$6:$AN$238,25,FALSE)</f>
        <v>3.8253465800137287</v>
      </c>
      <c r="U692" s="40">
        <f t="shared" si="340"/>
        <v>2758.0748841898981</v>
      </c>
      <c r="V692" s="41">
        <v>0.81799999999999995</v>
      </c>
      <c r="W692" s="40">
        <f t="shared" si="341"/>
        <v>2256.1052552673364</v>
      </c>
      <c r="X692" s="40">
        <f>VLOOKUP(D692,[1]apoio_Preços_MGS!$A$6:$AN$238,29,FALSE)</f>
        <v>19.18</v>
      </c>
      <c r="Y692" s="40">
        <f>VLOOKUP(D692,[1]apoio_Preços_MGS!$A$6:$AN$238,30,FALSE)</f>
        <v>52.615447885447871</v>
      </c>
      <c r="Z692" s="40">
        <f t="shared" si="346"/>
        <v>71.795447885447871</v>
      </c>
      <c r="AA692" s="40">
        <f>VLOOKUP(D692,[1]apoio_Preços_MGS!$A$6:$AN$238,32,FALSE)</f>
        <v>5.2881591122109777</v>
      </c>
      <c r="AB692" s="40">
        <f>VLOOKUP(D692,[1]apoio_Preços_MGS!$A$6:$AN$238,33,FALSE)</f>
        <v>201.79439560439556</v>
      </c>
      <c r="AC692" s="41">
        <f>VLOOKUP(D692,[1]apoio_Preços_MGS!$A$6:$AN$238,34,FALSE)</f>
        <v>3.2904213048597905E-2</v>
      </c>
      <c r="AD692" s="40">
        <f>(U692+W692+Z692+AB692+AA692+VLOOKUP(C692,[1]apoio_Prec_Folha!$A:$S,7,FALSE))*AC692</f>
        <v>192.23322522209634</v>
      </c>
      <c r="AE692" s="42">
        <f>VLOOKUP(D692,[1]apoio_Preços_MGS!$A$6:$AN$238,36,FALSE)</f>
        <v>7.0000000000000007E-2</v>
      </c>
      <c r="AF692" s="40">
        <f>(U692+W692+Z692+AB692+AD692+AA692+VLOOKUP(C692,[1]apoio_Prec_Folha!$A:$S,7,FALSE))*AE692</f>
        <v>422.41081878662021</v>
      </c>
      <c r="AG692" s="40">
        <f t="shared" si="347"/>
        <v>5907.7</v>
      </c>
      <c r="AH692" s="43">
        <f t="shared" si="348"/>
        <v>6770.99</v>
      </c>
      <c r="AI692" s="43">
        <f t="shared" si="349"/>
        <v>40625.94</v>
      </c>
      <c r="AJ692" s="43">
        <f t="shared" si="350"/>
        <v>2437556.4</v>
      </c>
      <c r="AK692" s="44">
        <f>VLOOKUP(D692,[1]apoio_Preços_MGS!$A$6:$AN$238,39,FALSE)</f>
        <v>200.00000000000003</v>
      </c>
      <c r="AL692" s="44">
        <f>IF(J692="demais municípios",VLOOKUP(D692,[1]apoio_Preços_MGS!$A$6:$AN$238,39,FALSE),0)</f>
        <v>200.00000000000003</v>
      </c>
      <c r="AM692" s="44">
        <v>0</v>
      </c>
      <c r="AN692" s="45">
        <f t="shared" si="355"/>
        <v>1200.0000000000002</v>
      </c>
      <c r="AO692" s="44">
        <f>VLOOKUP(D692,[1]apoio_Preços_MGS!$A$6:$AN$238,40,FALSE)</f>
        <v>549.14</v>
      </c>
      <c r="AP692" s="44">
        <f>IF(J692="demais municípios",VLOOKUP(D692,[1]apoio_Preços_MGS!$A$6:$AN$238,40,FALSE),0)</f>
        <v>549.14</v>
      </c>
      <c r="AQ692" s="44">
        <v>0</v>
      </c>
      <c r="AR692" s="45">
        <f t="shared" si="356"/>
        <v>3294.84</v>
      </c>
      <c r="AS692" s="45">
        <f t="shared" si="333"/>
        <v>4494.84</v>
      </c>
      <c r="AT692" s="45">
        <f t="shared" si="335"/>
        <v>269690.40000000002</v>
      </c>
      <c r="AU692" s="62"/>
      <c r="AV692" s="46"/>
      <c r="AW692" s="47"/>
      <c r="AX692" s="48"/>
      <c r="AY692" s="49"/>
      <c r="BA692" s="48"/>
    </row>
    <row r="693" spans="1:53" ht="19.5" customHeight="1" x14ac:dyDescent="0.25">
      <c r="A693" s="33" t="str">
        <f t="shared" si="331"/>
        <v>106275440,05</v>
      </c>
      <c r="B693" s="33" t="str">
        <f t="shared" si="332"/>
        <v>1260,05</v>
      </c>
      <c r="C693" s="34" t="str">
        <f>VLOOKUP(D693,[1]apoio_Preços_MGS!$A$6:$B$238,2,FALSE)</f>
        <v>TRABALHADOR DA MANUTENÇÃO PREDIAL E INSTALAÇÕES</v>
      </c>
      <c r="D693" s="35">
        <v>126</v>
      </c>
      <c r="E693" s="33" t="str">
        <f>VLOOKUP(D693,[1]apoio_Preços_MGS!$A$6:$F$238,6,FALSE)</f>
        <v>TRABALHADOR DA MANUTENÇÃO PREDIAL E INSTALAÇÕES - 12x36 DIURNO - 44H</v>
      </c>
      <c r="F693" s="36">
        <f>IFERROR(VLOOKUP(D693,'[1]apoio_cód catmas'!$B$2:$C$863,2,FALSE),0)</f>
        <v>106275</v>
      </c>
      <c r="G693" s="33" t="str">
        <f>IF(H693="N/A",VLOOKUP(F693&amp;40,'[1]apoio_cód catmas'!$A$1:$G$233,4,FALSE),VLOOKUP(F693&amp;H693,'[1]apoio_cód catmas'!$A$1:$G$233,4,FALSE))</f>
        <v>TRABALHADOR DA MANUTENÇÃO PREDIAL E INSTALAÇÕES - 12X36 DIURNO - 44H</v>
      </c>
      <c r="H693" s="36">
        <v>44</v>
      </c>
      <c r="I693" s="37">
        <v>0.05</v>
      </c>
      <c r="J693" s="38" t="s">
        <v>47</v>
      </c>
      <c r="K693" s="39">
        <v>6</v>
      </c>
      <c r="L693" s="39">
        <f t="shared" si="334"/>
        <v>360</v>
      </c>
      <c r="M693" s="40">
        <f>VLOOKUP(D693,[1]apoio_Preços_MGS!$A$6:$AN$238,18,FALSE)</f>
        <v>2754.2495376098846</v>
      </c>
      <c r="N693" s="40">
        <f>VLOOKUP(D693,[1]apoio_Preços_MGS!$A$6:$AN$238,19,FALSE)</f>
        <v>0</v>
      </c>
      <c r="O693" s="40">
        <f>VLOOKUP(D693,[1]apoio_Preços_MGS!$A$6:$AN$238,20,FALSE)</f>
        <v>0</v>
      </c>
      <c r="P693" s="40">
        <f>VLOOKUP(D693,[1]apoio_Preços_MGS!$A$6:$AN$238,21,FALSE)</f>
        <v>0</v>
      </c>
      <c r="Q693" s="40">
        <f>VLOOKUP(D693,[1]apoio_Preços_MGS!$A$6:$AN$238,22,FALSE)</f>
        <v>0</v>
      </c>
      <c r="R693" s="40">
        <f>VLOOKUP(D693,[1]apoio_Preços_MGS!$A$6:$AN$238,23,FALSE)</f>
        <v>0</v>
      </c>
      <c r="S693" s="40">
        <f>VLOOKUP(D693,[1]apoio_Preços_MGS!$A$6:$AN$238,24,FALSE)</f>
        <v>0</v>
      </c>
      <c r="T693" s="40">
        <f>VLOOKUP(D693,[1]apoio_Preços_MGS!$A$6:$AN$238,25,FALSE)</f>
        <v>3.8253465800137287</v>
      </c>
      <c r="U693" s="40">
        <f t="shared" si="340"/>
        <v>2758.0748841898981</v>
      </c>
      <c r="V693" s="41">
        <v>0.81799999999999995</v>
      </c>
      <c r="W693" s="40">
        <f t="shared" si="341"/>
        <v>2256.1052552673364</v>
      </c>
      <c r="X693" s="40">
        <f>VLOOKUP(D693,[1]apoio_Preços_MGS!$A$6:$AN$238,29,FALSE)</f>
        <v>19.18</v>
      </c>
      <c r="Y693" s="40">
        <f>VLOOKUP(D693,[1]apoio_Preços_MGS!$A$6:$AN$238,30,FALSE)</f>
        <v>52.615447885447871</v>
      </c>
      <c r="Z693" s="40">
        <f t="shared" si="346"/>
        <v>71.795447885447871</v>
      </c>
      <c r="AA693" s="40">
        <f>VLOOKUP(D693,[1]apoio_Preços_MGS!$A$6:$AN$238,32,FALSE)</f>
        <v>5.2881591122109777</v>
      </c>
      <c r="AB693" s="40">
        <f>VLOOKUP(D693,[1]apoio_Preços_MGS!$A$6:$AN$238,33,FALSE)</f>
        <v>201.79439560439556</v>
      </c>
      <c r="AC693" s="41">
        <f>VLOOKUP(D693,[1]apoio_Preços_MGS!$A$6:$AN$238,34,FALSE)</f>
        <v>3.2904213048597905E-2</v>
      </c>
      <c r="AD693" s="40">
        <f>(U693+W693+Z693+AB693+AA693+VLOOKUP(C693,[1]apoio_Prec_Folha!$A:$S,7,FALSE))*AC693</f>
        <v>192.23322522209634</v>
      </c>
      <c r="AE693" s="42">
        <f>VLOOKUP(D693,[1]apoio_Preços_MGS!$A$6:$AN$238,36,FALSE)</f>
        <v>7.0000000000000007E-2</v>
      </c>
      <c r="AF693" s="40">
        <f>(U693+W693+Z693+AB693+AD693+AA693+VLOOKUP(C693,[1]apoio_Prec_Folha!$A:$S,7,FALSE))*AE693</f>
        <v>422.41081878662021</v>
      </c>
      <c r="AG693" s="40">
        <f t="shared" si="347"/>
        <v>5907.7</v>
      </c>
      <c r="AH693" s="43">
        <f t="shared" si="348"/>
        <v>6889.44</v>
      </c>
      <c r="AI693" s="43">
        <f t="shared" si="349"/>
        <v>41336.639999999999</v>
      </c>
      <c r="AJ693" s="43">
        <f t="shared" si="350"/>
        <v>2480198.4</v>
      </c>
      <c r="AK693" s="44">
        <f>VLOOKUP(D693,[1]apoio_Preços_MGS!$A$6:$AN$238,39,FALSE)</f>
        <v>200.00000000000003</v>
      </c>
      <c r="AL693" s="44">
        <f>IF(J693="demais municípios",VLOOKUP(D693,[1]apoio_Preços_MGS!$A$6:$AN$238,39,FALSE),0)</f>
        <v>0</v>
      </c>
      <c r="AM693" s="44">
        <f>TRUNC(ROUND(($I693)/(1-($I693)),5)*VLOOKUP(D693,[1]apoio_Preços_MGS!$A$6:$AN$238,39,FALSE)+VLOOKUP(D693,[1]apoio_Preços_MGS!$A$6:$AN$238,39,FALSE),2)</f>
        <v>210.52</v>
      </c>
      <c r="AN693" s="45">
        <f t="shared" si="336"/>
        <v>1263.1200000000001</v>
      </c>
      <c r="AO693" s="44">
        <f>VLOOKUP(D693,[1]apoio_Preços_MGS!$A$6:$AN$238,40,FALSE)</f>
        <v>549.14</v>
      </c>
      <c r="AP693" s="44">
        <f>IF(J693="demais municípios",VLOOKUP(D693,[1]apoio_Preços_MGS!$A$6:$AN$238,40,FALSE),0)</f>
        <v>0</v>
      </c>
      <c r="AQ693" s="44">
        <f>TRUNC(ROUND(($I693)/(1-($I693)),5)*VLOOKUP(D693,[1]apoio_Preços_MGS!$A$6:$AN$238,40,FALSE)+VLOOKUP(D693,[1]apoio_Preços_MGS!$A$6:$AN$238,40,FALSE),2)</f>
        <v>578.04</v>
      </c>
      <c r="AR693" s="45">
        <f t="shared" si="337"/>
        <v>3468.24</v>
      </c>
      <c r="AS693" s="45">
        <f t="shared" si="333"/>
        <v>4731.3599999999997</v>
      </c>
      <c r="AT693" s="45">
        <f t="shared" si="335"/>
        <v>283881.59999999998</v>
      </c>
      <c r="AU693" s="62"/>
      <c r="AV693" s="46"/>
      <c r="AW693" s="47"/>
      <c r="AX693" s="48"/>
      <c r="AY693" s="49"/>
      <c r="BA693" s="48"/>
    </row>
    <row r="694" spans="1:53" ht="19.5" customHeight="1" x14ac:dyDescent="0.25">
      <c r="A694" s="33" t="str">
        <f t="shared" si="331"/>
        <v>106283440,02</v>
      </c>
      <c r="B694" s="33" t="str">
        <f t="shared" si="332"/>
        <v>1290,02</v>
      </c>
      <c r="C694" s="34" t="str">
        <f>VLOOKUP(D694,[1]apoio_Preços_MGS!$A$6:$B$238,2,FALSE)</f>
        <v>TRABALHADOR DA MANUTENÇÃO PREDIAL E INSTALAÇÕES</v>
      </c>
      <c r="D694" s="35">
        <v>129</v>
      </c>
      <c r="E694" s="33" t="str">
        <f>VLOOKUP(D694,[1]apoio_Preços_MGS!$A$6:$F$238,6,FALSE)</f>
        <v>TRABALHADOR DA MANUTENÇÃO PREDIAL E INSTALAÇÕES - (PERIC.) - 12x36 DIURNO - 44H</v>
      </c>
      <c r="F694" s="36">
        <f>IFERROR(VLOOKUP(D694,'[1]apoio_cód catmas'!$B$2:$C$863,2,FALSE),0)</f>
        <v>106283</v>
      </c>
      <c r="G694" s="33" t="str">
        <f>IF(H694="N/A",VLOOKUP(F694&amp;40,'[1]apoio_cód catmas'!$A$1:$G$233,4,FALSE),VLOOKUP(F694&amp;H694,'[1]apoio_cód catmas'!$A$1:$G$233,4,FALSE))</f>
        <v>TRABALHADOR DA MANUTENCAO PREDIAL E INSTALACOES - 12X36 DIURNO (PERICULOSIDADE) - 44H</v>
      </c>
      <c r="H694" s="36">
        <v>44</v>
      </c>
      <c r="I694" s="37">
        <v>0.02</v>
      </c>
      <c r="J694" s="38" t="s">
        <v>46</v>
      </c>
      <c r="K694" s="39">
        <v>2</v>
      </c>
      <c r="L694" s="39">
        <f t="shared" si="334"/>
        <v>120</v>
      </c>
      <c r="M694" s="40">
        <f>VLOOKUP(D694,[1]apoio_Preços_MGS!$A$6:$AN$238,18,FALSE)</f>
        <v>2754.2495376098846</v>
      </c>
      <c r="N694" s="40">
        <f>VLOOKUP(D694,[1]apoio_Preços_MGS!$A$6:$AN$238,19,FALSE)</f>
        <v>826.27486128296539</v>
      </c>
      <c r="O694" s="40">
        <f>VLOOKUP(D694,[1]apoio_Preços_MGS!$A$6:$AN$238,20,FALSE)</f>
        <v>0</v>
      </c>
      <c r="P694" s="40">
        <f>VLOOKUP(D694,[1]apoio_Preços_MGS!$A$6:$AN$238,21,FALSE)</f>
        <v>0</v>
      </c>
      <c r="Q694" s="40">
        <f>VLOOKUP(D694,[1]apoio_Preços_MGS!$A$6:$AN$238,22,FALSE)</f>
        <v>0</v>
      </c>
      <c r="R694" s="40">
        <f>VLOOKUP(D694,[1]apoio_Preços_MGS!$A$6:$AN$238,23,FALSE)</f>
        <v>0</v>
      </c>
      <c r="S694" s="40">
        <f>VLOOKUP(D694,[1]apoio_Preços_MGS!$A$6:$AN$238,24,FALSE)</f>
        <v>0</v>
      </c>
      <c r="T694" s="40">
        <f>VLOOKUP(D694,[1]apoio_Preços_MGS!$A$6:$AN$238,25,FALSE)</f>
        <v>4.9729505540178476</v>
      </c>
      <c r="U694" s="40">
        <f t="shared" si="340"/>
        <v>3585.4973494468677</v>
      </c>
      <c r="V694" s="41">
        <v>0.81799999999999995</v>
      </c>
      <c r="W694" s="40">
        <f t="shared" si="341"/>
        <v>2932.9368318475376</v>
      </c>
      <c r="X694" s="40">
        <f>VLOOKUP(D694,[1]apoio_Preços_MGS!$A$6:$AN$238,29,FALSE)</f>
        <v>19.18</v>
      </c>
      <c r="Y694" s="40">
        <f>VLOOKUP(D694,[1]apoio_Preços_MGS!$A$6:$AN$238,30,FALSE)</f>
        <v>52.615447885447871</v>
      </c>
      <c r="Z694" s="40">
        <f t="shared" si="346"/>
        <v>71.795447885447871</v>
      </c>
      <c r="AA694" s="40">
        <f>VLOOKUP(D694,[1]apoio_Preços_MGS!$A$6:$AN$238,32,FALSE)</f>
        <v>5.2881591122109777</v>
      </c>
      <c r="AB694" s="40">
        <f>VLOOKUP(D694,[1]apoio_Preços_MGS!$A$6:$AN$238,33,FALSE)</f>
        <v>201.79439560439556</v>
      </c>
      <c r="AC694" s="41">
        <f>VLOOKUP(D694,[1]apoio_Preços_MGS!$A$6:$AN$238,34,FALSE)</f>
        <v>3.2904213048597905E-2</v>
      </c>
      <c r="AD694" s="40">
        <f>(U694+W694+Z694+AB694+AA694+VLOOKUP(C694,[1]apoio_Prec_Folha!$A:$S,7,FALSE))*AC694</f>
        <v>241.72952069392116</v>
      </c>
      <c r="AE694" s="42">
        <f>VLOOKUP(D694,[1]apoio_Preços_MGS!$A$6:$AN$238,36,FALSE)</f>
        <v>7.0000000000000007E-2</v>
      </c>
      <c r="AF694" s="40">
        <f>(U694+W694+Z694+AB694+AD694+AA694+VLOOKUP(C694,[1]apoio_Prec_Folha!$A:$S,7,FALSE))*AE694</f>
        <v>531.17334239825004</v>
      </c>
      <c r="AG694" s="40">
        <f t="shared" si="347"/>
        <v>7570.21</v>
      </c>
      <c r="AH694" s="43">
        <f t="shared" si="348"/>
        <v>8529.7999999999993</v>
      </c>
      <c r="AI694" s="43">
        <f t="shared" si="349"/>
        <v>17059.599999999999</v>
      </c>
      <c r="AJ694" s="43">
        <f t="shared" si="350"/>
        <v>1023575.9999999999</v>
      </c>
      <c r="AK694" s="44">
        <f>VLOOKUP(D694,[1]apoio_Preços_MGS!$A$6:$AN$238,39,FALSE)</f>
        <v>200.00000000000003</v>
      </c>
      <c r="AL694" s="44">
        <f>IF(J694="demais municípios",VLOOKUP(D694,[1]apoio_Preços_MGS!$A$6:$AN$238,39,FALSE),0)</f>
        <v>200.00000000000003</v>
      </c>
      <c r="AM694" s="44">
        <v>0</v>
      </c>
      <c r="AN694" s="45">
        <f t="shared" ref="AN694:AN695" si="357">AK694*K694</f>
        <v>400.00000000000006</v>
      </c>
      <c r="AO694" s="44">
        <f>VLOOKUP(D694,[1]apoio_Preços_MGS!$A$6:$AN$238,40,FALSE)</f>
        <v>549.14</v>
      </c>
      <c r="AP694" s="44">
        <f>IF(J694="demais municípios",VLOOKUP(D694,[1]apoio_Preços_MGS!$A$6:$AN$238,40,FALSE),0)</f>
        <v>549.14</v>
      </c>
      <c r="AQ694" s="44">
        <v>0</v>
      </c>
      <c r="AR694" s="45">
        <f t="shared" ref="AR694:AR695" si="358">AO694*K694</f>
        <v>1098.28</v>
      </c>
      <c r="AS694" s="45">
        <f t="shared" si="333"/>
        <v>1498.28</v>
      </c>
      <c r="AT694" s="45">
        <f t="shared" si="335"/>
        <v>89896.8</v>
      </c>
      <c r="AU694" s="62"/>
      <c r="AV694" s="46"/>
      <c r="AW694" s="47"/>
      <c r="AX694" s="48"/>
      <c r="AY694" s="49"/>
      <c r="BA694" s="48"/>
    </row>
    <row r="695" spans="1:53" ht="19.5" customHeight="1" x14ac:dyDescent="0.25">
      <c r="A695" s="33" t="str">
        <f t="shared" si="331"/>
        <v>106283440,03</v>
      </c>
      <c r="B695" s="33" t="str">
        <f t="shared" si="332"/>
        <v>1290,03</v>
      </c>
      <c r="C695" s="34" t="str">
        <f>VLOOKUP(D695,[1]apoio_Preços_MGS!$A$6:$B$238,2,FALSE)</f>
        <v>TRABALHADOR DA MANUTENÇÃO PREDIAL E INSTALAÇÕES</v>
      </c>
      <c r="D695" s="35">
        <v>129</v>
      </c>
      <c r="E695" s="33" t="str">
        <f>VLOOKUP(D695,[1]apoio_Preços_MGS!$A$6:$F$238,6,FALSE)</f>
        <v>TRABALHADOR DA MANUTENÇÃO PREDIAL E INSTALAÇÕES - (PERIC.) - 12x36 DIURNO - 44H</v>
      </c>
      <c r="F695" s="36">
        <f>IFERROR(VLOOKUP(D695,'[1]apoio_cód catmas'!$B$2:$C$863,2,FALSE),0)</f>
        <v>106283</v>
      </c>
      <c r="G695" s="33" t="str">
        <f>IF(H695="N/A",VLOOKUP(F695&amp;40,'[1]apoio_cód catmas'!$A$1:$G$233,4,FALSE),VLOOKUP(F695&amp;H695,'[1]apoio_cód catmas'!$A$1:$G$233,4,FALSE))</f>
        <v>TRABALHADOR DA MANUTENCAO PREDIAL E INSTALACOES - 12X36 DIURNO (PERICULOSIDADE) - 44H</v>
      </c>
      <c r="H695" s="36">
        <v>44</v>
      </c>
      <c r="I695" s="37">
        <v>0.03</v>
      </c>
      <c r="J695" s="38" t="s">
        <v>46</v>
      </c>
      <c r="K695" s="39">
        <v>6</v>
      </c>
      <c r="L695" s="39">
        <f t="shared" si="334"/>
        <v>360</v>
      </c>
      <c r="M695" s="40">
        <f>VLOOKUP(D695,[1]apoio_Preços_MGS!$A$6:$AN$238,18,FALSE)</f>
        <v>2754.2495376098846</v>
      </c>
      <c r="N695" s="40">
        <f>VLOOKUP(D695,[1]apoio_Preços_MGS!$A$6:$AN$238,19,FALSE)</f>
        <v>826.27486128296539</v>
      </c>
      <c r="O695" s="40">
        <f>VLOOKUP(D695,[1]apoio_Preços_MGS!$A$6:$AN$238,20,FALSE)</f>
        <v>0</v>
      </c>
      <c r="P695" s="40">
        <f>VLOOKUP(D695,[1]apoio_Preços_MGS!$A$6:$AN$238,21,FALSE)</f>
        <v>0</v>
      </c>
      <c r="Q695" s="40">
        <f>VLOOKUP(D695,[1]apoio_Preços_MGS!$A$6:$AN$238,22,FALSE)</f>
        <v>0</v>
      </c>
      <c r="R695" s="40">
        <f>VLOOKUP(D695,[1]apoio_Preços_MGS!$A$6:$AN$238,23,FALSE)</f>
        <v>0</v>
      </c>
      <c r="S695" s="40">
        <f>VLOOKUP(D695,[1]apoio_Preços_MGS!$A$6:$AN$238,24,FALSE)</f>
        <v>0</v>
      </c>
      <c r="T695" s="40">
        <f>VLOOKUP(D695,[1]apoio_Preços_MGS!$A$6:$AN$238,25,FALSE)</f>
        <v>4.9729505540178476</v>
      </c>
      <c r="U695" s="40">
        <f t="shared" si="340"/>
        <v>3585.4973494468677</v>
      </c>
      <c r="V695" s="41">
        <v>0.81799999999999995</v>
      </c>
      <c r="W695" s="40">
        <f t="shared" si="341"/>
        <v>2932.9368318475376</v>
      </c>
      <c r="X695" s="40">
        <f>VLOOKUP(D695,[1]apoio_Preços_MGS!$A$6:$AN$238,29,FALSE)</f>
        <v>19.18</v>
      </c>
      <c r="Y695" s="40">
        <f>VLOOKUP(D695,[1]apoio_Preços_MGS!$A$6:$AN$238,30,FALSE)</f>
        <v>52.615447885447871</v>
      </c>
      <c r="Z695" s="40">
        <f t="shared" si="346"/>
        <v>71.795447885447871</v>
      </c>
      <c r="AA695" s="40">
        <f>VLOOKUP(D695,[1]apoio_Preços_MGS!$A$6:$AN$238,32,FALSE)</f>
        <v>5.2881591122109777</v>
      </c>
      <c r="AB695" s="40">
        <f>VLOOKUP(D695,[1]apoio_Preços_MGS!$A$6:$AN$238,33,FALSE)</f>
        <v>201.79439560439556</v>
      </c>
      <c r="AC695" s="41">
        <f>VLOOKUP(D695,[1]apoio_Preços_MGS!$A$6:$AN$238,34,FALSE)</f>
        <v>3.2904213048597905E-2</v>
      </c>
      <c r="AD695" s="40">
        <f>(U695+W695+Z695+AB695+AA695+VLOOKUP(C695,[1]apoio_Prec_Folha!$A:$S,7,FALSE))*AC695</f>
        <v>241.72952069392116</v>
      </c>
      <c r="AE695" s="42">
        <f>VLOOKUP(D695,[1]apoio_Preços_MGS!$A$6:$AN$238,36,FALSE)</f>
        <v>7.0000000000000007E-2</v>
      </c>
      <c r="AF695" s="40">
        <f>(U695+W695+Z695+AB695+AD695+AA695+VLOOKUP(C695,[1]apoio_Prec_Folha!$A:$S,7,FALSE))*AE695</f>
        <v>531.17334239825004</v>
      </c>
      <c r="AG695" s="40">
        <f t="shared" si="347"/>
        <v>7570.21</v>
      </c>
      <c r="AH695" s="43">
        <f t="shared" si="348"/>
        <v>8627.01</v>
      </c>
      <c r="AI695" s="43">
        <f t="shared" si="349"/>
        <v>51762.06</v>
      </c>
      <c r="AJ695" s="43">
        <f t="shared" si="350"/>
        <v>3105723.6</v>
      </c>
      <c r="AK695" s="44">
        <f>VLOOKUP(D695,[1]apoio_Preços_MGS!$A$6:$AN$238,39,FALSE)</f>
        <v>200.00000000000003</v>
      </c>
      <c r="AL695" s="44">
        <f>IF(J695="demais municípios",VLOOKUP(D695,[1]apoio_Preços_MGS!$A$6:$AN$238,39,FALSE),0)</f>
        <v>200.00000000000003</v>
      </c>
      <c r="AM695" s="44">
        <v>0</v>
      </c>
      <c r="AN695" s="45">
        <f t="shared" si="357"/>
        <v>1200.0000000000002</v>
      </c>
      <c r="AO695" s="44">
        <f>VLOOKUP(D695,[1]apoio_Preços_MGS!$A$6:$AN$238,40,FALSE)</f>
        <v>549.14</v>
      </c>
      <c r="AP695" s="44">
        <f>IF(J695="demais municípios",VLOOKUP(D695,[1]apoio_Preços_MGS!$A$6:$AN$238,40,FALSE),0)</f>
        <v>549.14</v>
      </c>
      <c r="AQ695" s="44">
        <v>0</v>
      </c>
      <c r="AR695" s="45">
        <f t="shared" si="358"/>
        <v>3294.84</v>
      </c>
      <c r="AS695" s="45">
        <f t="shared" si="333"/>
        <v>4494.84</v>
      </c>
      <c r="AT695" s="45">
        <f t="shared" si="335"/>
        <v>269690.40000000002</v>
      </c>
      <c r="AU695" s="62"/>
      <c r="AV695" s="46"/>
      <c r="AW695" s="47"/>
      <c r="AX695" s="48"/>
      <c r="AY695" s="49"/>
      <c r="BA695" s="48"/>
    </row>
    <row r="696" spans="1:53" ht="19.5" customHeight="1" x14ac:dyDescent="0.25">
      <c r="A696" s="33" t="str">
        <f t="shared" si="331"/>
        <v>106283440,05</v>
      </c>
      <c r="B696" s="33" t="str">
        <f t="shared" si="332"/>
        <v>1290,05</v>
      </c>
      <c r="C696" s="34" t="str">
        <f>VLOOKUP(D696,[1]apoio_Preços_MGS!$A$6:$B$238,2,FALSE)</f>
        <v>TRABALHADOR DA MANUTENÇÃO PREDIAL E INSTALAÇÕES</v>
      </c>
      <c r="D696" s="35">
        <v>129</v>
      </c>
      <c r="E696" s="33" t="str">
        <f>VLOOKUP(D696,[1]apoio_Preços_MGS!$A$6:$F$238,6,FALSE)</f>
        <v>TRABALHADOR DA MANUTENÇÃO PREDIAL E INSTALAÇÕES - (PERIC.) - 12x36 DIURNO - 44H</v>
      </c>
      <c r="F696" s="36">
        <f>IFERROR(VLOOKUP(D696,'[1]apoio_cód catmas'!$B$2:$C$863,2,FALSE),0)</f>
        <v>106283</v>
      </c>
      <c r="G696" s="33" t="str">
        <f>IF(H696="N/A",VLOOKUP(F696&amp;40,'[1]apoio_cód catmas'!$A$1:$G$233,4,FALSE),VLOOKUP(F696&amp;H696,'[1]apoio_cód catmas'!$A$1:$G$233,4,FALSE))</f>
        <v>TRABALHADOR DA MANUTENCAO PREDIAL E INSTALACOES - 12X36 DIURNO (PERICULOSIDADE) - 44H</v>
      </c>
      <c r="H696" s="36">
        <v>44</v>
      </c>
      <c r="I696" s="37">
        <v>0.05</v>
      </c>
      <c r="J696" s="38" t="s">
        <v>47</v>
      </c>
      <c r="K696" s="39">
        <v>4</v>
      </c>
      <c r="L696" s="39">
        <f t="shared" si="334"/>
        <v>240</v>
      </c>
      <c r="M696" s="40">
        <f>VLOOKUP(D696,[1]apoio_Preços_MGS!$A$6:$AN$238,18,FALSE)</f>
        <v>2754.2495376098846</v>
      </c>
      <c r="N696" s="40">
        <f>VLOOKUP(D696,[1]apoio_Preços_MGS!$A$6:$AN$238,19,FALSE)</f>
        <v>826.27486128296539</v>
      </c>
      <c r="O696" s="40">
        <f>VLOOKUP(D696,[1]apoio_Preços_MGS!$A$6:$AN$238,20,FALSE)</f>
        <v>0</v>
      </c>
      <c r="P696" s="40">
        <f>VLOOKUP(D696,[1]apoio_Preços_MGS!$A$6:$AN$238,21,FALSE)</f>
        <v>0</v>
      </c>
      <c r="Q696" s="40">
        <f>VLOOKUP(D696,[1]apoio_Preços_MGS!$A$6:$AN$238,22,FALSE)</f>
        <v>0</v>
      </c>
      <c r="R696" s="40">
        <f>VLOOKUP(D696,[1]apoio_Preços_MGS!$A$6:$AN$238,23,FALSE)</f>
        <v>0</v>
      </c>
      <c r="S696" s="40">
        <f>VLOOKUP(D696,[1]apoio_Preços_MGS!$A$6:$AN$238,24,FALSE)</f>
        <v>0</v>
      </c>
      <c r="T696" s="40">
        <f>VLOOKUP(D696,[1]apoio_Preços_MGS!$A$6:$AN$238,25,FALSE)</f>
        <v>4.9729505540178476</v>
      </c>
      <c r="U696" s="40">
        <f t="shared" si="340"/>
        <v>3585.4973494468677</v>
      </c>
      <c r="V696" s="41">
        <v>0.81799999999999995</v>
      </c>
      <c r="W696" s="40">
        <f t="shared" si="341"/>
        <v>2932.9368318475376</v>
      </c>
      <c r="X696" s="40">
        <f>VLOOKUP(D696,[1]apoio_Preços_MGS!$A$6:$AN$238,29,FALSE)</f>
        <v>19.18</v>
      </c>
      <c r="Y696" s="40">
        <f>VLOOKUP(D696,[1]apoio_Preços_MGS!$A$6:$AN$238,30,FALSE)</f>
        <v>52.615447885447871</v>
      </c>
      <c r="Z696" s="40">
        <f t="shared" si="346"/>
        <v>71.795447885447871</v>
      </c>
      <c r="AA696" s="40">
        <f>VLOOKUP(D696,[1]apoio_Preços_MGS!$A$6:$AN$238,32,FALSE)</f>
        <v>5.2881591122109777</v>
      </c>
      <c r="AB696" s="40">
        <f>VLOOKUP(D696,[1]apoio_Preços_MGS!$A$6:$AN$238,33,FALSE)</f>
        <v>201.79439560439556</v>
      </c>
      <c r="AC696" s="41">
        <f>VLOOKUP(D696,[1]apoio_Preços_MGS!$A$6:$AN$238,34,FALSE)</f>
        <v>3.2904213048597905E-2</v>
      </c>
      <c r="AD696" s="40">
        <f>(U696+W696+Z696+AB696+AA696+VLOOKUP(C696,[1]apoio_Prec_Folha!$A:$S,7,FALSE))*AC696</f>
        <v>241.72952069392116</v>
      </c>
      <c r="AE696" s="42">
        <f>VLOOKUP(D696,[1]apoio_Preços_MGS!$A$6:$AN$238,36,FALSE)</f>
        <v>7.0000000000000007E-2</v>
      </c>
      <c r="AF696" s="40">
        <f>(U696+W696+Z696+AB696+AD696+AA696+VLOOKUP(C696,[1]apoio_Prec_Folha!$A:$S,7,FALSE))*AE696</f>
        <v>531.17334239825004</v>
      </c>
      <c r="AG696" s="40">
        <f t="shared" si="347"/>
        <v>7570.21</v>
      </c>
      <c r="AH696" s="43">
        <f t="shared" si="348"/>
        <v>8828.2199999999993</v>
      </c>
      <c r="AI696" s="43">
        <f t="shared" si="349"/>
        <v>35312.879999999997</v>
      </c>
      <c r="AJ696" s="43">
        <f t="shared" si="350"/>
        <v>2118772.7999999998</v>
      </c>
      <c r="AK696" s="44">
        <f>VLOOKUP(D696,[1]apoio_Preços_MGS!$A$6:$AN$238,39,FALSE)</f>
        <v>200.00000000000003</v>
      </c>
      <c r="AL696" s="44">
        <f>IF(J696="demais municípios",VLOOKUP(D696,[1]apoio_Preços_MGS!$A$6:$AN$238,39,FALSE),0)</f>
        <v>0</v>
      </c>
      <c r="AM696" s="44">
        <f>TRUNC(ROUND(($I696)/(1-($I696)),5)*VLOOKUP(D696,[1]apoio_Preços_MGS!$A$6:$AN$238,39,FALSE)+VLOOKUP(D696,[1]apoio_Preços_MGS!$A$6:$AN$238,39,FALSE),2)</f>
        <v>210.52</v>
      </c>
      <c r="AN696" s="45">
        <f t="shared" si="336"/>
        <v>842.08</v>
      </c>
      <c r="AO696" s="44">
        <f>VLOOKUP(D696,[1]apoio_Preços_MGS!$A$6:$AN$238,40,FALSE)</f>
        <v>549.14</v>
      </c>
      <c r="AP696" s="44">
        <f>IF(J696="demais municípios",VLOOKUP(D696,[1]apoio_Preços_MGS!$A$6:$AN$238,40,FALSE),0)</f>
        <v>0</v>
      </c>
      <c r="AQ696" s="44">
        <f>TRUNC(ROUND(($I696)/(1-($I696)),5)*VLOOKUP(D696,[1]apoio_Preços_MGS!$A$6:$AN$238,40,FALSE)+VLOOKUP(D696,[1]apoio_Preços_MGS!$A$6:$AN$238,40,FALSE),2)</f>
        <v>578.04</v>
      </c>
      <c r="AR696" s="45">
        <f t="shared" si="337"/>
        <v>2312.16</v>
      </c>
      <c r="AS696" s="45">
        <f t="shared" si="333"/>
        <v>3154.24</v>
      </c>
      <c r="AT696" s="45">
        <f t="shared" si="335"/>
        <v>189254.39999999999</v>
      </c>
      <c r="AU696" s="62"/>
      <c r="AV696" s="46"/>
      <c r="AW696" s="47"/>
      <c r="AX696" s="48"/>
      <c r="AY696" s="49"/>
      <c r="BA696" s="48"/>
    </row>
    <row r="697" spans="1:53" ht="19.5" customHeight="1" x14ac:dyDescent="0.25">
      <c r="A697" s="33" t="str">
        <f t="shared" si="331"/>
        <v>106291400,02</v>
      </c>
      <c r="B697" s="33" t="str">
        <f t="shared" si="332"/>
        <v>1250,02</v>
      </c>
      <c r="C697" s="34" t="str">
        <f>VLOOKUP(D697,[1]apoio_Preços_MGS!$A$6:$B$238,2,FALSE)</f>
        <v>TRABALHADOR DA MANUTENÇÃO PREDIAL E INSTALAÇÕES</v>
      </c>
      <c r="D697" s="35">
        <v>125</v>
      </c>
      <c r="E697" s="33" t="str">
        <f>VLOOKUP(D697,[1]apoio_Preços_MGS!$A$6:$F$238,6,FALSE)</f>
        <v>TRABALHADOR DA MANUTENÇÃO PREDIAL E INSTALAÇÕES - DIARISTA DIURNO - 40H</v>
      </c>
      <c r="F697" s="36">
        <f>IFERROR(VLOOKUP(D697,'[1]apoio_cód catmas'!$B$2:$C$863,2,FALSE),0)</f>
        <v>106291</v>
      </c>
      <c r="G697" s="33" t="str">
        <f>IF(H697="N/A",VLOOKUP(F697&amp;40,'[1]apoio_cód catmas'!$A$1:$G$233,4,FALSE),VLOOKUP(F697&amp;H697,'[1]apoio_cód catmas'!$A$1:$G$233,4,FALSE))</f>
        <v>TRABALHADOR DA MANUTENCAO PREDIAL E INSTALACOES - 40H OU 44H</v>
      </c>
      <c r="H697" s="36">
        <v>40</v>
      </c>
      <c r="I697" s="37">
        <v>0.02</v>
      </c>
      <c r="J697" s="38" t="s">
        <v>46</v>
      </c>
      <c r="K697" s="39">
        <v>5</v>
      </c>
      <c r="L697" s="39">
        <f t="shared" si="334"/>
        <v>300</v>
      </c>
      <c r="M697" s="40">
        <f>VLOOKUP(D697,[1]apoio_Preços_MGS!$A$6:$AN$238,18,FALSE)</f>
        <v>2503.863216008986</v>
      </c>
      <c r="N697" s="40">
        <f>VLOOKUP(D697,[1]apoio_Preços_MGS!$A$6:$AN$238,19,FALSE)</f>
        <v>0</v>
      </c>
      <c r="O697" s="40">
        <f>VLOOKUP(D697,[1]apoio_Preços_MGS!$A$6:$AN$238,20,FALSE)</f>
        <v>0</v>
      </c>
      <c r="P697" s="40">
        <f>VLOOKUP(D697,[1]apoio_Preços_MGS!$A$6:$AN$238,21,FALSE)</f>
        <v>0</v>
      </c>
      <c r="Q697" s="40">
        <f>VLOOKUP(D697,[1]apoio_Preços_MGS!$A$6:$AN$238,22,FALSE)</f>
        <v>0</v>
      </c>
      <c r="R697" s="40">
        <f>VLOOKUP(D697,[1]apoio_Preços_MGS!$A$6:$AN$238,23,FALSE)</f>
        <v>0</v>
      </c>
      <c r="S697" s="40">
        <f>VLOOKUP(D697,[1]apoio_Preços_MGS!$A$6:$AN$238,24,FALSE)</f>
        <v>0</v>
      </c>
      <c r="T697" s="40">
        <f>VLOOKUP(D697,[1]apoio_Preços_MGS!$A$6:$AN$238,25,FALSE)</f>
        <v>0</v>
      </c>
      <c r="U697" s="40">
        <f t="shared" si="340"/>
        <v>2503.863216008986</v>
      </c>
      <c r="V697" s="41">
        <v>0.81799999999999995</v>
      </c>
      <c r="W697" s="40">
        <f t="shared" si="341"/>
        <v>2048.1601106953503</v>
      </c>
      <c r="X697" s="40">
        <f>VLOOKUP(D697,[1]apoio_Preços_MGS!$A$6:$AN$238,29,FALSE)</f>
        <v>19.18</v>
      </c>
      <c r="Y697" s="40">
        <f>VLOOKUP(D697,[1]apoio_Preços_MGS!$A$6:$AN$238,30,FALSE)</f>
        <v>52.615447885447871</v>
      </c>
      <c r="Z697" s="40">
        <f t="shared" si="346"/>
        <v>71.795447885447871</v>
      </c>
      <c r="AA697" s="40">
        <f>VLOOKUP(D697,[1]apoio_Preços_MGS!$A$6:$AN$238,32,FALSE)</f>
        <v>4.8074173747372528</v>
      </c>
      <c r="AB697" s="40">
        <f>VLOOKUP(D697,[1]apoio_Preços_MGS!$A$6:$AN$238,33,FALSE)</f>
        <v>210.30305694305693</v>
      </c>
      <c r="AC697" s="41">
        <f>VLOOKUP(D697,[1]apoio_Preços_MGS!$A$6:$AN$238,34,FALSE)</f>
        <v>3.2904213048597905E-2</v>
      </c>
      <c r="AD697" s="40">
        <f>(U697+W697+Z697+AB697+AA697+VLOOKUP(C697,[1]apoio_Prec_Folha!$A:$S,7,FALSE))*AC697</f>
        <v>177.29047137030852</v>
      </c>
      <c r="AE697" s="42">
        <f>VLOOKUP(D697,[1]apoio_Preços_MGS!$A$6:$AN$238,36,FALSE)</f>
        <v>7.0000000000000007E-2</v>
      </c>
      <c r="AF697" s="40">
        <f>(U697+W697+Z697+AB697+AD697+AA697+VLOOKUP(C697,[1]apoio_Prec_Folha!$A:$S,7,FALSE))*AE697</f>
        <v>389.57580349637533</v>
      </c>
      <c r="AG697" s="40">
        <f t="shared" si="347"/>
        <v>5405.79</v>
      </c>
      <c r="AH697" s="43">
        <f t="shared" si="348"/>
        <v>6091.02</v>
      </c>
      <c r="AI697" s="43">
        <f t="shared" si="349"/>
        <v>30455.100000000002</v>
      </c>
      <c r="AJ697" s="43">
        <f t="shared" si="350"/>
        <v>1827306.0000000002</v>
      </c>
      <c r="AK697" s="44">
        <f>VLOOKUP(D697,[1]apoio_Preços_MGS!$A$6:$AN$238,39,FALSE)</f>
        <v>181.81818181818184</v>
      </c>
      <c r="AL697" s="44">
        <f>IF(J697="demais municípios",VLOOKUP(D697,[1]apoio_Preços_MGS!$A$6:$AN$238,39,FALSE),0)</f>
        <v>181.81818181818184</v>
      </c>
      <c r="AM697" s="44">
        <v>0</v>
      </c>
      <c r="AN697" s="45">
        <f t="shared" ref="AN697:AN700" si="359">AK697*K697</f>
        <v>909.09090909090924</v>
      </c>
      <c r="AO697" s="44">
        <f>VLOOKUP(D697,[1]apoio_Preços_MGS!$A$6:$AN$238,40,FALSE)</f>
        <v>549.14</v>
      </c>
      <c r="AP697" s="44">
        <f>IF(J697="demais municípios",VLOOKUP(D697,[1]apoio_Preços_MGS!$A$6:$AN$238,40,FALSE),0)</f>
        <v>549.14</v>
      </c>
      <c r="AQ697" s="44">
        <v>0</v>
      </c>
      <c r="AR697" s="45">
        <f t="shared" ref="AR697:AR700" si="360">AO697*K697</f>
        <v>2745.7</v>
      </c>
      <c r="AS697" s="45">
        <f t="shared" si="333"/>
        <v>3654.7909090909088</v>
      </c>
      <c r="AT697" s="45">
        <f t="shared" si="335"/>
        <v>219287.45454545453</v>
      </c>
      <c r="AU697" s="62"/>
      <c r="AV697" s="46"/>
      <c r="AW697" s="47"/>
      <c r="AX697" s="48"/>
      <c r="AY697" s="49"/>
      <c r="BA697" s="48"/>
    </row>
    <row r="698" spans="1:53" ht="19.5" customHeight="1" x14ac:dyDescent="0.25">
      <c r="A698" s="33" t="str">
        <f t="shared" si="331"/>
        <v>106291400,03</v>
      </c>
      <c r="B698" s="33" t="str">
        <f t="shared" si="332"/>
        <v>1250,03</v>
      </c>
      <c r="C698" s="34" t="str">
        <f>VLOOKUP(D698,[1]apoio_Preços_MGS!$A$6:$B$238,2,FALSE)</f>
        <v>TRABALHADOR DA MANUTENÇÃO PREDIAL E INSTALAÇÕES</v>
      </c>
      <c r="D698" s="35">
        <v>125</v>
      </c>
      <c r="E698" s="33" t="str">
        <f>VLOOKUP(D698,[1]apoio_Preços_MGS!$A$6:$F$238,6,FALSE)</f>
        <v>TRABALHADOR DA MANUTENÇÃO PREDIAL E INSTALAÇÕES - DIARISTA DIURNO - 40H</v>
      </c>
      <c r="F698" s="36">
        <f>IFERROR(VLOOKUP(D698,'[1]apoio_cód catmas'!$B$2:$C$863,2,FALSE),0)</f>
        <v>106291</v>
      </c>
      <c r="G698" s="33" t="str">
        <f>IF(H698="N/A",VLOOKUP(F698&amp;40,'[1]apoio_cód catmas'!$A$1:$G$233,4,FALSE),VLOOKUP(F698&amp;H698,'[1]apoio_cód catmas'!$A$1:$G$233,4,FALSE))</f>
        <v>TRABALHADOR DA MANUTENCAO PREDIAL E INSTALACOES - 40H OU 44H</v>
      </c>
      <c r="H698" s="36">
        <v>40</v>
      </c>
      <c r="I698" s="37">
        <v>0.03</v>
      </c>
      <c r="J698" s="38" t="s">
        <v>46</v>
      </c>
      <c r="K698" s="39">
        <v>13</v>
      </c>
      <c r="L698" s="39">
        <f t="shared" si="334"/>
        <v>780</v>
      </c>
      <c r="M698" s="40">
        <f>VLOOKUP(D698,[1]apoio_Preços_MGS!$A$6:$AN$238,18,FALSE)</f>
        <v>2503.863216008986</v>
      </c>
      <c r="N698" s="40">
        <f>VLOOKUP(D698,[1]apoio_Preços_MGS!$A$6:$AN$238,19,FALSE)</f>
        <v>0</v>
      </c>
      <c r="O698" s="40">
        <f>VLOOKUP(D698,[1]apoio_Preços_MGS!$A$6:$AN$238,20,FALSE)</f>
        <v>0</v>
      </c>
      <c r="P698" s="40">
        <f>VLOOKUP(D698,[1]apoio_Preços_MGS!$A$6:$AN$238,21,FALSE)</f>
        <v>0</v>
      </c>
      <c r="Q698" s="40">
        <f>VLOOKUP(D698,[1]apoio_Preços_MGS!$A$6:$AN$238,22,FALSE)</f>
        <v>0</v>
      </c>
      <c r="R698" s="40">
        <f>VLOOKUP(D698,[1]apoio_Preços_MGS!$A$6:$AN$238,23,FALSE)</f>
        <v>0</v>
      </c>
      <c r="S698" s="40">
        <f>VLOOKUP(D698,[1]apoio_Preços_MGS!$A$6:$AN$238,24,FALSE)</f>
        <v>0</v>
      </c>
      <c r="T698" s="40">
        <f>VLOOKUP(D698,[1]apoio_Preços_MGS!$A$6:$AN$238,25,FALSE)</f>
        <v>0</v>
      </c>
      <c r="U698" s="40">
        <f t="shared" si="340"/>
        <v>2503.863216008986</v>
      </c>
      <c r="V698" s="41">
        <f>VLOOKUP(D698,[1]apoio_Preços_MGS!$A$6:$AN$238,27,FALSE)</f>
        <v>0.81799999999999995</v>
      </c>
      <c r="W698" s="40">
        <f t="shared" si="341"/>
        <v>2048.1601106953503</v>
      </c>
      <c r="X698" s="40">
        <f>VLOOKUP(D698,[1]apoio_Preços_MGS!$A$6:$AN$238,29,FALSE)</f>
        <v>19.18</v>
      </c>
      <c r="Y698" s="40">
        <f>VLOOKUP(D698,[1]apoio_Preços_MGS!$A$6:$AN$238,30,FALSE)</f>
        <v>52.615447885447871</v>
      </c>
      <c r="Z698" s="40">
        <f t="shared" si="346"/>
        <v>71.795447885447871</v>
      </c>
      <c r="AA698" s="40">
        <f>VLOOKUP(D698,[1]apoio_Preços_MGS!$A$6:$AN$238,32,FALSE)</f>
        <v>4.8074173747372528</v>
      </c>
      <c r="AB698" s="40">
        <f>VLOOKUP(D698,[1]apoio_Preços_MGS!$A$6:$AN$238,33,FALSE)</f>
        <v>210.30305694305693</v>
      </c>
      <c r="AC698" s="41">
        <f>VLOOKUP(D698,[1]apoio_Preços_MGS!$A$6:$AN$238,34,FALSE)</f>
        <v>3.2904213048597905E-2</v>
      </c>
      <c r="AD698" s="40">
        <f>(U698+W698+Z698+AB698+AA698+VLOOKUP(C698,[1]apoio_Prec_Folha!$A:$S,7,FALSE))*AC698</f>
        <v>177.29047137030852</v>
      </c>
      <c r="AE698" s="42">
        <f>VLOOKUP(D698,[1]apoio_Preços_MGS!$A$6:$AN$238,36,FALSE)</f>
        <v>7.0000000000000007E-2</v>
      </c>
      <c r="AF698" s="40">
        <f>(U698+W698+Z698+AB698+AD698+AA698+VLOOKUP(C698,[1]apoio_Prec_Folha!$A:$S,7,FALSE))*AE698</f>
        <v>389.57580349637533</v>
      </c>
      <c r="AG698" s="40">
        <f t="shared" si="347"/>
        <v>5405.79</v>
      </c>
      <c r="AH698" s="43">
        <f t="shared" si="348"/>
        <v>6160.43</v>
      </c>
      <c r="AI698" s="43">
        <f t="shared" si="349"/>
        <v>80085.59</v>
      </c>
      <c r="AJ698" s="43">
        <f t="shared" si="350"/>
        <v>4805135.4000000004</v>
      </c>
      <c r="AK698" s="44">
        <f>VLOOKUP(D698,[1]apoio_Preços_MGS!$A$6:$AN$238,39,FALSE)</f>
        <v>181.81818181818184</v>
      </c>
      <c r="AL698" s="44">
        <f>IF(J698="demais municípios",VLOOKUP(D698,[1]apoio_Preços_MGS!$A$6:$AN$238,39,FALSE),0)</f>
        <v>181.81818181818184</v>
      </c>
      <c r="AM698" s="44">
        <v>0</v>
      </c>
      <c r="AN698" s="45">
        <f t="shared" si="359"/>
        <v>2363.636363636364</v>
      </c>
      <c r="AO698" s="44">
        <f>VLOOKUP(D698,[1]apoio_Preços_MGS!$A$6:$AN$238,40,FALSE)</f>
        <v>549.14</v>
      </c>
      <c r="AP698" s="44">
        <f>IF(J698="demais municípios",VLOOKUP(D698,[1]apoio_Preços_MGS!$A$6:$AN$238,40,FALSE),0)</f>
        <v>549.14</v>
      </c>
      <c r="AQ698" s="44">
        <v>0</v>
      </c>
      <c r="AR698" s="45">
        <f t="shared" si="360"/>
        <v>7138.82</v>
      </c>
      <c r="AS698" s="45">
        <f t="shared" si="333"/>
        <v>9502.4563636363637</v>
      </c>
      <c r="AT698" s="45">
        <f t="shared" si="335"/>
        <v>570147.38181818184</v>
      </c>
      <c r="AU698" s="62"/>
      <c r="AV698" s="46"/>
      <c r="AW698" s="47"/>
      <c r="AX698" s="48"/>
      <c r="AY698" s="49"/>
      <c r="BA698" s="48"/>
    </row>
    <row r="699" spans="1:53" ht="19.5" customHeight="1" x14ac:dyDescent="0.25">
      <c r="A699" s="33" t="str">
        <f t="shared" si="331"/>
        <v>106291400,038</v>
      </c>
      <c r="B699" s="33" t="str">
        <f t="shared" si="332"/>
        <v>1250,038</v>
      </c>
      <c r="C699" s="34" t="str">
        <f>VLOOKUP(D699,[1]apoio_Preços_MGS!$A$6:$B$238,2,FALSE)</f>
        <v>TRABALHADOR DA MANUTENÇÃO PREDIAL E INSTALAÇÕES</v>
      </c>
      <c r="D699" s="35">
        <v>125</v>
      </c>
      <c r="E699" s="33" t="str">
        <f>VLOOKUP(D699,[1]apoio_Preços_MGS!$A$6:$F$238,6,FALSE)</f>
        <v>TRABALHADOR DA MANUTENÇÃO PREDIAL E INSTALAÇÕES - DIARISTA DIURNO - 40H</v>
      </c>
      <c r="F699" s="36">
        <f>IFERROR(VLOOKUP(D699,'[1]apoio_cód catmas'!$B$2:$C$863,2,FALSE),0)</f>
        <v>106291</v>
      </c>
      <c r="G699" s="33" t="str">
        <f>IF(H699="N/A",VLOOKUP(F699&amp;40,'[1]apoio_cód catmas'!$A$1:$G$233,4,FALSE),VLOOKUP(F699&amp;H699,'[1]apoio_cód catmas'!$A$1:$G$233,4,FALSE))</f>
        <v>TRABALHADOR DA MANUTENCAO PREDIAL E INSTALACOES - 40H OU 44H</v>
      </c>
      <c r="H699" s="36">
        <v>40</v>
      </c>
      <c r="I699" s="37">
        <v>3.7999999999999999E-2</v>
      </c>
      <c r="J699" s="38" t="s">
        <v>46</v>
      </c>
      <c r="K699" s="39">
        <v>1</v>
      </c>
      <c r="L699" s="39">
        <f t="shared" si="334"/>
        <v>60</v>
      </c>
      <c r="M699" s="40">
        <f>VLOOKUP(D699,[1]apoio_Preços_MGS!$A$6:$AN$238,18,FALSE)</f>
        <v>2503.863216008986</v>
      </c>
      <c r="N699" s="40">
        <f>VLOOKUP(D699,[1]apoio_Preços_MGS!$A$6:$AN$238,19,FALSE)</f>
        <v>0</v>
      </c>
      <c r="O699" s="40">
        <f>VLOOKUP(D699,[1]apoio_Preços_MGS!$A$6:$AN$238,20,FALSE)</f>
        <v>0</v>
      </c>
      <c r="P699" s="40">
        <f>VLOOKUP(D699,[1]apoio_Preços_MGS!$A$6:$AN$238,21,FALSE)</f>
        <v>0</v>
      </c>
      <c r="Q699" s="40">
        <f>VLOOKUP(D699,[1]apoio_Preços_MGS!$A$6:$AN$238,22,FALSE)</f>
        <v>0</v>
      </c>
      <c r="R699" s="40">
        <f>VLOOKUP(D699,[1]apoio_Preços_MGS!$A$6:$AN$238,23,FALSE)</f>
        <v>0</v>
      </c>
      <c r="S699" s="40">
        <f>VLOOKUP(D699,[1]apoio_Preços_MGS!$A$6:$AN$238,24,FALSE)</f>
        <v>0</v>
      </c>
      <c r="T699" s="40">
        <f>VLOOKUP(D699,[1]apoio_Preços_MGS!$A$6:$AN$238,25,FALSE)</f>
        <v>0</v>
      </c>
      <c r="U699" s="40">
        <f t="shared" si="340"/>
        <v>2503.863216008986</v>
      </c>
      <c r="V699" s="41">
        <v>0.81799999999999995</v>
      </c>
      <c r="W699" s="40">
        <f t="shared" si="341"/>
        <v>2048.1601106953503</v>
      </c>
      <c r="X699" s="40">
        <f>VLOOKUP(D699,[1]apoio_Preços_MGS!$A$6:$AN$238,29,FALSE)</f>
        <v>19.18</v>
      </c>
      <c r="Y699" s="40">
        <f>VLOOKUP(D699,[1]apoio_Preços_MGS!$A$6:$AN$238,30,FALSE)</f>
        <v>52.615447885447871</v>
      </c>
      <c r="Z699" s="40">
        <f t="shared" si="346"/>
        <v>71.795447885447871</v>
      </c>
      <c r="AA699" s="40">
        <f>VLOOKUP(D699,[1]apoio_Preços_MGS!$A$6:$AN$238,32,FALSE)</f>
        <v>4.8074173747372528</v>
      </c>
      <c r="AB699" s="40">
        <f>VLOOKUP(D699,[1]apoio_Preços_MGS!$A$6:$AN$238,33,FALSE)</f>
        <v>210.30305694305693</v>
      </c>
      <c r="AC699" s="41">
        <f>VLOOKUP(D699,[1]apoio_Preços_MGS!$A$6:$AN$238,34,FALSE)</f>
        <v>3.2904213048597905E-2</v>
      </c>
      <c r="AD699" s="40">
        <f>(U699+W699+Z699+AB699+AA699+VLOOKUP(C699,[1]apoio_Prec_Folha!$A:$S,7,FALSE))*AC699</f>
        <v>177.29047137030852</v>
      </c>
      <c r="AE699" s="42">
        <f>VLOOKUP(D699,[1]apoio_Preços_MGS!$A$6:$AN$238,36,FALSE)</f>
        <v>7.0000000000000007E-2</v>
      </c>
      <c r="AF699" s="40">
        <f>(U699+W699+Z699+AB699+AD699+AA699+VLOOKUP(C699,[1]apoio_Prec_Folha!$A:$S,7,FALSE))*AE699</f>
        <v>389.57580349637533</v>
      </c>
      <c r="AG699" s="40">
        <f t="shared" si="347"/>
        <v>5405.79</v>
      </c>
      <c r="AH699" s="43">
        <f t="shared" si="348"/>
        <v>6217.14</v>
      </c>
      <c r="AI699" s="43">
        <f t="shared" si="349"/>
        <v>6217.14</v>
      </c>
      <c r="AJ699" s="43">
        <f t="shared" si="350"/>
        <v>373028.4</v>
      </c>
      <c r="AK699" s="44">
        <f>VLOOKUP(D699,[1]apoio_Preços_MGS!$A$6:$AN$238,39,FALSE)</f>
        <v>181.81818181818184</v>
      </c>
      <c r="AL699" s="44">
        <f>IF(J699="demais municípios",VLOOKUP(D699,[1]apoio_Preços_MGS!$A$6:$AN$238,39,FALSE),0)</f>
        <v>181.81818181818184</v>
      </c>
      <c r="AM699" s="44">
        <v>0</v>
      </c>
      <c r="AN699" s="45">
        <f t="shared" si="359"/>
        <v>181.81818181818184</v>
      </c>
      <c r="AO699" s="44">
        <f>VLOOKUP(D699,[1]apoio_Preços_MGS!$A$6:$AN$238,40,FALSE)</f>
        <v>549.14</v>
      </c>
      <c r="AP699" s="44">
        <f>IF(J699="demais municípios",VLOOKUP(D699,[1]apoio_Preços_MGS!$A$6:$AN$238,40,FALSE),0)</f>
        <v>549.14</v>
      </c>
      <c r="AQ699" s="44">
        <v>0</v>
      </c>
      <c r="AR699" s="45">
        <f t="shared" si="360"/>
        <v>549.14</v>
      </c>
      <c r="AS699" s="45">
        <f t="shared" si="333"/>
        <v>730.95818181818186</v>
      </c>
      <c r="AT699" s="45">
        <f t="shared" si="335"/>
        <v>43857.490909090913</v>
      </c>
      <c r="AU699" s="62"/>
      <c r="AV699" s="46"/>
      <c r="AW699" s="47"/>
      <c r="AX699" s="48"/>
      <c r="AY699" s="49"/>
      <c r="BA699" s="48"/>
    </row>
    <row r="700" spans="1:53" ht="19.5" customHeight="1" x14ac:dyDescent="0.25">
      <c r="A700" s="33" t="str">
        <f t="shared" si="331"/>
        <v>106291400,05</v>
      </c>
      <c r="B700" s="33" t="str">
        <f t="shared" si="332"/>
        <v>1250,05</v>
      </c>
      <c r="C700" s="34" t="str">
        <f>VLOOKUP(D700,[1]apoio_Preços_MGS!$A$6:$B$238,2,FALSE)</f>
        <v>TRABALHADOR DA MANUTENÇÃO PREDIAL E INSTALAÇÕES</v>
      </c>
      <c r="D700" s="35">
        <v>125</v>
      </c>
      <c r="E700" s="33" t="str">
        <f>VLOOKUP(D700,[1]apoio_Preços_MGS!$A$6:$F$238,6,FALSE)</f>
        <v>TRABALHADOR DA MANUTENÇÃO PREDIAL E INSTALAÇÕES - DIARISTA DIURNO - 40H</v>
      </c>
      <c r="F700" s="36">
        <f>IFERROR(VLOOKUP(D700,'[1]apoio_cód catmas'!$B$2:$C$863,2,FALSE),0)</f>
        <v>106291</v>
      </c>
      <c r="G700" s="33" t="str">
        <f>IF(H700="N/A",VLOOKUP(F700&amp;40,'[1]apoio_cód catmas'!$A$1:$G$233,4,FALSE),VLOOKUP(F700&amp;H700,'[1]apoio_cód catmas'!$A$1:$G$233,4,FALSE))</f>
        <v>TRABALHADOR DA MANUTENCAO PREDIAL E INSTALACOES - 40H OU 44H</v>
      </c>
      <c r="H700" s="36">
        <v>40</v>
      </c>
      <c r="I700" s="37">
        <v>0.05</v>
      </c>
      <c r="J700" s="38" t="s">
        <v>46</v>
      </c>
      <c r="K700" s="39">
        <f>62-K701</f>
        <v>1</v>
      </c>
      <c r="L700" s="39">
        <f t="shared" si="334"/>
        <v>60</v>
      </c>
      <c r="M700" s="40">
        <f>VLOOKUP(D700,[1]apoio_Preços_MGS!$A$6:$AN$238,18,FALSE)</f>
        <v>2503.863216008986</v>
      </c>
      <c r="N700" s="40">
        <f>VLOOKUP(D700,[1]apoio_Preços_MGS!$A$6:$AN$238,19,FALSE)</f>
        <v>0</v>
      </c>
      <c r="O700" s="40">
        <f>VLOOKUP(D700,[1]apoio_Preços_MGS!$A$6:$AN$238,20,FALSE)</f>
        <v>0</v>
      </c>
      <c r="P700" s="40">
        <f>VLOOKUP(D700,[1]apoio_Preços_MGS!$A$6:$AN$238,21,FALSE)</f>
        <v>0</v>
      </c>
      <c r="Q700" s="40">
        <f>VLOOKUP(D700,[1]apoio_Preços_MGS!$A$6:$AN$238,22,FALSE)</f>
        <v>0</v>
      </c>
      <c r="R700" s="40">
        <f>VLOOKUP(D700,[1]apoio_Preços_MGS!$A$6:$AN$238,23,FALSE)</f>
        <v>0</v>
      </c>
      <c r="S700" s="40">
        <f>VLOOKUP(D700,[1]apoio_Preços_MGS!$A$6:$AN$238,24,FALSE)</f>
        <v>0</v>
      </c>
      <c r="T700" s="40">
        <f>VLOOKUP(D700,[1]apoio_Preços_MGS!$A$6:$AN$238,25,FALSE)</f>
        <v>0</v>
      </c>
      <c r="U700" s="40">
        <f t="shared" si="340"/>
        <v>2503.863216008986</v>
      </c>
      <c r="V700" s="41">
        <v>0.81799999999999995</v>
      </c>
      <c r="W700" s="40">
        <f t="shared" si="341"/>
        <v>2048.1601106953503</v>
      </c>
      <c r="X700" s="40">
        <f>VLOOKUP(D700,[1]apoio_Preços_MGS!$A$6:$AN$238,29,FALSE)</f>
        <v>19.18</v>
      </c>
      <c r="Y700" s="40">
        <f>VLOOKUP(D700,[1]apoio_Preços_MGS!$A$6:$AN$238,30,FALSE)</f>
        <v>52.615447885447871</v>
      </c>
      <c r="Z700" s="40">
        <f t="shared" si="346"/>
        <v>71.795447885447871</v>
      </c>
      <c r="AA700" s="40">
        <f>VLOOKUP(D700,[1]apoio_Preços_MGS!$A$6:$AN$238,32,FALSE)</f>
        <v>4.8074173747372528</v>
      </c>
      <c r="AB700" s="40">
        <f>VLOOKUP(D700,[1]apoio_Preços_MGS!$A$6:$AN$238,33,FALSE)</f>
        <v>210.30305694305693</v>
      </c>
      <c r="AC700" s="41">
        <f>VLOOKUP(D700,[1]apoio_Preços_MGS!$A$6:$AN$238,34,FALSE)</f>
        <v>3.2904213048597905E-2</v>
      </c>
      <c r="AD700" s="40">
        <f>(U700+W700+Z700+AB700+AA700+VLOOKUP(C700,[1]apoio_Prec_Folha!$A:$S,7,FALSE))*AC700</f>
        <v>177.29047137030852</v>
      </c>
      <c r="AE700" s="42">
        <f>VLOOKUP(D700,[1]apoio_Preços_MGS!$A$6:$AN$238,36,FALSE)</f>
        <v>7.0000000000000007E-2</v>
      </c>
      <c r="AF700" s="40">
        <f>(U700+W700+Z700+AB700+AD700+AA700+VLOOKUP(C700,[1]apoio_Prec_Folha!$A:$S,7,FALSE))*AE700</f>
        <v>389.57580349637533</v>
      </c>
      <c r="AG700" s="40">
        <f t="shared" si="347"/>
        <v>5405.79</v>
      </c>
      <c r="AH700" s="43">
        <f t="shared" si="348"/>
        <v>6304.12</v>
      </c>
      <c r="AI700" s="43">
        <f t="shared" si="349"/>
        <v>6304.12</v>
      </c>
      <c r="AJ700" s="43">
        <f t="shared" si="350"/>
        <v>378247.2</v>
      </c>
      <c r="AK700" s="44">
        <f>VLOOKUP(D700,[1]apoio_Preços_MGS!$A$6:$AN$238,39,FALSE)</f>
        <v>181.81818181818184</v>
      </c>
      <c r="AL700" s="44">
        <f>IF(J700="demais municípios",VLOOKUP(D700,[1]apoio_Preços_MGS!$A$6:$AN$238,39,FALSE),0)</f>
        <v>181.81818181818184</v>
      </c>
      <c r="AM700" s="44">
        <v>0</v>
      </c>
      <c r="AN700" s="45">
        <f t="shared" si="359"/>
        <v>181.81818181818184</v>
      </c>
      <c r="AO700" s="44">
        <f>VLOOKUP(D700,[1]apoio_Preços_MGS!$A$6:$AN$238,40,FALSE)</f>
        <v>549.14</v>
      </c>
      <c r="AP700" s="44">
        <f>IF(J700="demais municípios",VLOOKUP(D700,[1]apoio_Preços_MGS!$A$6:$AN$238,40,FALSE),0)</f>
        <v>549.14</v>
      </c>
      <c r="AQ700" s="44">
        <v>0</v>
      </c>
      <c r="AR700" s="45">
        <f t="shared" si="360"/>
        <v>549.14</v>
      </c>
      <c r="AS700" s="45">
        <f t="shared" si="333"/>
        <v>730.95818181818186</v>
      </c>
      <c r="AT700" s="45">
        <f t="shared" si="335"/>
        <v>43857.490909090913</v>
      </c>
      <c r="AU700" s="62"/>
      <c r="AV700" s="46"/>
      <c r="AW700" s="47"/>
      <c r="AX700" s="48"/>
      <c r="AY700" s="49"/>
      <c r="BA700" s="48"/>
    </row>
    <row r="701" spans="1:53" ht="19.5" customHeight="1" x14ac:dyDescent="0.25">
      <c r="A701" s="33" t="str">
        <f t="shared" si="331"/>
        <v>106291400,05</v>
      </c>
      <c r="B701" s="33" t="str">
        <f t="shared" si="332"/>
        <v>1250,05</v>
      </c>
      <c r="C701" s="34" t="str">
        <f>VLOOKUP(D701,[1]apoio_Preços_MGS!$A$6:$B$238,2,FALSE)</f>
        <v>TRABALHADOR DA MANUTENÇÃO PREDIAL E INSTALAÇÕES</v>
      </c>
      <c r="D701" s="35">
        <v>125</v>
      </c>
      <c r="E701" s="33" t="str">
        <f>VLOOKUP(D701,[1]apoio_Preços_MGS!$A$6:$F$238,6,FALSE)</f>
        <v>TRABALHADOR DA MANUTENÇÃO PREDIAL E INSTALAÇÕES - DIARISTA DIURNO - 40H</v>
      </c>
      <c r="F701" s="36">
        <f>IFERROR(VLOOKUP(D701,'[1]apoio_cód catmas'!$B$2:$C$863,2,FALSE),0)</f>
        <v>106291</v>
      </c>
      <c r="G701" s="33" t="str">
        <f>IF(H701="N/A",VLOOKUP(F701&amp;40,'[1]apoio_cód catmas'!$A$1:$G$233,4,FALSE),VLOOKUP(F701&amp;H701,'[1]apoio_cód catmas'!$A$1:$G$233,4,FALSE))</f>
        <v>TRABALHADOR DA MANUTENCAO PREDIAL E INSTALACOES - 40H OU 44H</v>
      </c>
      <c r="H701" s="36">
        <v>40</v>
      </c>
      <c r="I701" s="37">
        <v>0.05</v>
      </c>
      <c r="J701" s="38" t="s">
        <v>47</v>
      </c>
      <c r="K701" s="39">
        <v>61</v>
      </c>
      <c r="L701" s="39">
        <f t="shared" si="334"/>
        <v>3660</v>
      </c>
      <c r="M701" s="40">
        <f>VLOOKUP(D701,[1]apoio_Preços_MGS!$A$6:$AN$238,18,FALSE)</f>
        <v>2503.863216008986</v>
      </c>
      <c r="N701" s="40">
        <f>VLOOKUP(D701,[1]apoio_Preços_MGS!$A$6:$AN$238,19,FALSE)</f>
        <v>0</v>
      </c>
      <c r="O701" s="40">
        <f>VLOOKUP(D701,[1]apoio_Preços_MGS!$A$6:$AN$238,20,FALSE)</f>
        <v>0</v>
      </c>
      <c r="P701" s="40">
        <f>VLOOKUP(D701,[1]apoio_Preços_MGS!$A$6:$AN$238,21,FALSE)</f>
        <v>0</v>
      </c>
      <c r="Q701" s="40">
        <f>VLOOKUP(D701,[1]apoio_Preços_MGS!$A$6:$AN$238,22,FALSE)</f>
        <v>0</v>
      </c>
      <c r="R701" s="40">
        <f>VLOOKUP(D701,[1]apoio_Preços_MGS!$A$6:$AN$238,23,FALSE)</f>
        <v>0</v>
      </c>
      <c r="S701" s="40">
        <f>VLOOKUP(D701,[1]apoio_Preços_MGS!$A$6:$AN$238,24,FALSE)</f>
        <v>0</v>
      </c>
      <c r="T701" s="40">
        <f>VLOOKUP(D701,[1]apoio_Preços_MGS!$A$6:$AN$238,25,FALSE)</f>
        <v>0</v>
      </c>
      <c r="U701" s="40">
        <f t="shared" si="340"/>
        <v>2503.863216008986</v>
      </c>
      <c r="V701" s="41">
        <v>0.81799999999999995</v>
      </c>
      <c r="W701" s="40">
        <f t="shared" si="341"/>
        <v>2048.1601106953503</v>
      </c>
      <c r="X701" s="40">
        <f>VLOOKUP(D701,[1]apoio_Preços_MGS!$A$6:$AN$238,29,FALSE)</f>
        <v>19.18</v>
      </c>
      <c r="Y701" s="40">
        <f>VLOOKUP(D701,[1]apoio_Preços_MGS!$A$6:$AN$238,30,FALSE)</f>
        <v>52.615447885447871</v>
      </c>
      <c r="Z701" s="40">
        <f t="shared" si="346"/>
        <v>71.795447885447871</v>
      </c>
      <c r="AA701" s="40">
        <f>VLOOKUP(D701,[1]apoio_Preços_MGS!$A$6:$AN$238,32,FALSE)</f>
        <v>4.8074173747372528</v>
      </c>
      <c r="AB701" s="40">
        <f>VLOOKUP(D701,[1]apoio_Preços_MGS!$A$6:$AN$238,33,FALSE)</f>
        <v>210.30305694305693</v>
      </c>
      <c r="AC701" s="41">
        <f>VLOOKUP(D701,[1]apoio_Preços_MGS!$A$6:$AN$238,34,FALSE)</f>
        <v>3.2904213048597905E-2</v>
      </c>
      <c r="AD701" s="40">
        <f>(U701+W701+Z701+AB701+AA701+VLOOKUP(C701,[1]apoio_Prec_Folha!$A:$S,7,FALSE))*AC701</f>
        <v>177.29047137030852</v>
      </c>
      <c r="AE701" s="42">
        <f>VLOOKUP(D701,[1]apoio_Preços_MGS!$A$6:$AN$238,36,FALSE)</f>
        <v>7.0000000000000007E-2</v>
      </c>
      <c r="AF701" s="40">
        <f>(U701+W701+Z701+AB701+AD701+AA701+VLOOKUP(C701,[1]apoio_Prec_Folha!$A:$S,7,FALSE))*AE701</f>
        <v>389.57580349637533</v>
      </c>
      <c r="AG701" s="40">
        <f t="shared" si="347"/>
        <v>5405.79</v>
      </c>
      <c r="AH701" s="43">
        <f t="shared" si="348"/>
        <v>6304.12</v>
      </c>
      <c r="AI701" s="43">
        <f t="shared" si="349"/>
        <v>384551.32</v>
      </c>
      <c r="AJ701" s="43">
        <f t="shared" si="350"/>
        <v>23073079.199999999</v>
      </c>
      <c r="AK701" s="44">
        <f>VLOOKUP(D701,[1]apoio_Preços_MGS!$A$6:$AN$238,39,FALSE)</f>
        <v>181.81818181818184</v>
      </c>
      <c r="AL701" s="44">
        <f>IF(J701="demais municípios",VLOOKUP(D701,[1]apoio_Preços_MGS!$A$6:$AN$238,39,FALSE),0)</f>
        <v>0</v>
      </c>
      <c r="AM701" s="44">
        <f>TRUNC(ROUND(($I701)/(1-($I701)),5)*VLOOKUP(D701,[1]apoio_Preços_MGS!$A$6:$AN$238,39,FALSE)+VLOOKUP(D701,[1]apoio_Preços_MGS!$A$6:$AN$238,39,FALSE),2)</f>
        <v>191.38</v>
      </c>
      <c r="AN701" s="45">
        <f t="shared" si="336"/>
        <v>11674.18</v>
      </c>
      <c r="AO701" s="44">
        <f>VLOOKUP(D701,[1]apoio_Preços_MGS!$A$6:$AN$238,40,FALSE)</f>
        <v>549.14</v>
      </c>
      <c r="AP701" s="44">
        <f>IF(J701="demais municípios",VLOOKUP(D701,[1]apoio_Preços_MGS!$A$6:$AN$238,40,FALSE),0)</f>
        <v>0</v>
      </c>
      <c r="AQ701" s="44">
        <f>TRUNC(ROUND(($I701)/(1-($I701)),5)*VLOOKUP(D701,[1]apoio_Preços_MGS!$A$6:$AN$238,40,FALSE)+VLOOKUP(D701,[1]apoio_Preços_MGS!$A$6:$AN$238,40,FALSE),2)</f>
        <v>578.04</v>
      </c>
      <c r="AR701" s="45">
        <f t="shared" si="337"/>
        <v>35260.439999999995</v>
      </c>
      <c r="AS701" s="45">
        <f t="shared" si="333"/>
        <v>46934.619999999995</v>
      </c>
      <c r="AT701" s="45">
        <f t="shared" si="335"/>
        <v>2816077.1999999997</v>
      </c>
      <c r="AU701" s="62"/>
      <c r="AV701" s="46"/>
      <c r="AW701" s="47"/>
      <c r="AX701" s="48"/>
      <c r="AY701" s="49"/>
      <c r="BA701" s="48"/>
    </row>
    <row r="702" spans="1:53" ht="19.5" customHeight="1" x14ac:dyDescent="0.25">
      <c r="A702" s="33" t="str">
        <f t="shared" si="331"/>
        <v>106291440,02</v>
      </c>
      <c r="B702" s="33" t="str">
        <f t="shared" si="332"/>
        <v>1240,02</v>
      </c>
      <c r="C702" s="34" t="str">
        <f>VLOOKUP(D702,[1]apoio_Preços_MGS!$A$6:$B$238,2,FALSE)</f>
        <v>TRABALHADOR DA MANUTENÇÃO PREDIAL E INSTALAÇÕES</v>
      </c>
      <c r="D702" s="35">
        <v>124</v>
      </c>
      <c r="E702" s="33" t="str">
        <f>VLOOKUP(D702,[1]apoio_Preços_MGS!$A$6:$F$238,6,FALSE)</f>
        <v>TRABALHADOR DA MANUTENÇÃO PREDIAL E INSTALAÇÕES - DIARISTA DIURNO - 44H</v>
      </c>
      <c r="F702" s="36">
        <f>IFERROR(VLOOKUP(D702,'[1]apoio_cód catmas'!$B$2:$C$863,2,FALSE),0)</f>
        <v>106291</v>
      </c>
      <c r="G702" s="33" t="str">
        <f>IF(H702="N/A",VLOOKUP(F702&amp;40,'[1]apoio_cód catmas'!$A$1:$G$233,4,FALSE),VLOOKUP(F702&amp;H702,'[1]apoio_cód catmas'!$A$1:$G$233,4,FALSE))</f>
        <v>TRABALHADOR DA MANUTENCAO PREDIAL E INSTALACOES - 40H OU 44H</v>
      </c>
      <c r="H702" s="36">
        <v>44</v>
      </c>
      <c r="I702" s="37">
        <v>0.02</v>
      </c>
      <c r="J702" s="38" t="s">
        <v>46</v>
      </c>
      <c r="K702" s="39">
        <v>8</v>
      </c>
      <c r="L702" s="39">
        <f t="shared" si="334"/>
        <v>480</v>
      </c>
      <c r="M702" s="40">
        <f>VLOOKUP(D702,[1]apoio_Preços_MGS!$A$6:$AN$238,18,FALSE)</f>
        <v>2754.2495376098846</v>
      </c>
      <c r="N702" s="40">
        <f>VLOOKUP(D702,[1]apoio_Preços_MGS!$A$6:$AN$238,19,FALSE)</f>
        <v>0</v>
      </c>
      <c r="O702" s="40">
        <f>VLOOKUP(D702,[1]apoio_Preços_MGS!$A$6:$AN$238,20,FALSE)</f>
        <v>0</v>
      </c>
      <c r="P702" s="40">
        <f>VLOOKUP(D702,[1]apoio_Preços_MGS!$A$6:$AN$238,21,FALSE)</f>
        <v>0</v>
      </c>
      <c r="Q702" s="40">
        <f>VLOOKUP(D702,[1]apoio_Preços_MGS!$A$6:$AN$238,22,FALSE)</f>
        <v>0</v>
      </c>
      <c r="R702" s="40">
        <f>VLOOKUP(D702,[1]apoio_Preços_MGS!$A$6:$AN$238,23,FALSE)</f>
        <v>0</v>
      </c>
      <c r="S702" s="40">
        <f>VLOOKUP(D702,[1]apoio_Preços_MGS!$A$6:$AN$238,24,FALSE)</f>
        <v>0</v>
      </c>
      <c r="T702" s="40">
        <f>VLOOKUP(D702,[1]apoio_Preços_MGS!$A$6:$AN$238,25,FALSE)</f>
        <v>0</v>
      </c>
      <c r="U702" s="40">
        <f t="shared" si="340"/>
        <v>2754.2495376098846</v>
      </c>
      <c r="V702" s="41">
        <v>0.81799999999999995</v>
      </c>
      <c r="W702" s="40">
        <f t="shared" si="341"/>
        <v>2252.9761217648856</v>
      </c>
      <c r="X702" s="40">
        <f>VLOOKUP(D702,[1]apoio_Preços_MGS!$A$6:$AN$238,29,FALSE)</f>
        <v>19.18</v>
      </c>
      <c r="Y702" s="40">
        <f>VLOOKUP(D702,[1]apoio_Preços_MGS!$A$6:$AN$238,30,FALSE)</f>
        <v>52.615447885447871</v>
      </c>
      <c r="Z702" s="40">
        <f t="shared" si="346"/>
        <v>71.795447885447871</v>
      </c>
      <c r="AA702" s="40">
        <f>VLOOKUP(D702,[1]apoio_Preços_MGS!$A$6:$AN$238,32,FALSE)</f>
        <v>5.2881591122109777</v>
      </c>
      <c r="AB702" s="40">
        <f>VLOOKUP(D702,[1]apoio_Preços_MGS!$A$6:$AN$238,33,FALSE)</f>
        <v>201.79439560439556</v>
      </c>
      <c r="AC702" s="41">
        <f>VLOOKUP(D702,[1]apoio_Preços_MGS!$A$6:$AN$238,34,FALSE)</f>
        <v>3.2904213048597905E-2</v>
      </c>
      <c r="AD702" s="40">
        <f>(U702+W702+Z702+AB702+AA702+VLOOKUP(C702,[1]apoio_Prec_Folha!$A:$S,7,FALSE))*AC702</f>
        <v>192.00439352782072</v>
      </c>
      <c r="AE702" s="42">
        <f>VLOOKUP(D702,[1]apoio_Preços_MGS!$A$6:$AN$238,36,FALSE)</f>
        <v>7.0000000000000007E-2</v>
      </c>
      <c r="AF702" s="40">
        <f>(U702+W702+Z702+AB702+AD702+AA702+VLOOKUP(C702,[1]apoio_Prec_Folha!$A:$S,7,FALSE))*AE702</f>
        <v>421.9079869622484</v>
      </c>
      <c r="AG702" s="40">
        <f t="shared" si="347"/>
        <v>5900.01</v>
      </c>
      <c r="AH702" s="43">
        <f t="shared" si="348"/>
        <v>6647.89</v>
      </c>
      <c r="AI702" s="43">
        <f t="shared" si="349"/>
        <v>53183.12</v>
      </c>
      <c r="AJ702" s="43">
        <f t="shared" si="350"/>
        <v>3190987.2</v>
      </c>
      <c r="AK702" s="44">
        <f>VLOOKUP(D702,[1]apoio_Preços_MGS!$A$6:$AN$238,39,FALSE)</f>
        <v>200.00000000000003</v>
      </c>
      <c r="AL702" s="44">
        <f>IF(J702="demais municípios",VLOOKUP(D702,[1]apoio_Preços_MGS!$A$6:$AN$238,39,FALSE),0)</f>
        <v>200.00000000000003</v>
      </c>
      <c r="AM702" s="44">
        <v>0</v>
      </c>
      <c r="AN702" s="45">
        <f t="shared" ref="AN702:AN708" si="361">AK702*K702</f>
        <v>1600.0000000000002</v>
      </c>
      <c r="AO702" s="44">
        <f>VLOOKUP(D702,[1]apoio_Preços_MGS!$A$6:$AN$238,40,FALSE)</f>
        <v>549.14</v>
      </c>
      <c r="AP702" s="44">
        <f>IF(J702="demais municípios",VLOOKUP(D702,[1]apoio_Preços_MGS!$A$6:$AN$238,40,FALSE),0)</f>
        <v>549.14</v>
      </c>
      <c r="AQ702" s="44">
        <v>0</v>
      </c>
      <c r="AR702" s="45">
        <f t="shared" ref="AR702:AR708" si="362">AO702*K702</f>
        <v>4393.12</v>
      </c>
      <c r="AS702" s="45">
        <f t="shared" si="333"/>
        <v>5993.12</v>
      </c>
      <c r="AT702" s="45">
        <f t="shared" si="335"/>
        <v>359587.2</v>
      </c>
      <c r="AU702" s="62"/>
      <c r="AV702" s="46"/>
      <c r="AW702" s="47"/>
      <c r="AX702" s="48"/>
      <c r="AY702" s="49"/>
      <c r="BA702" s="48"/>
    </row>
    <row r="703" spans="1:53" ht="19.5" customHeight="1" x14ac:dyDescent="0.25">
      <c r="A703" s="33" t="str">
        <f t="shared" si="331"/>
        <v>106291440,025</v>
      </c>
      <c r="B703" s="33" t="str">
        <f t="shared" si="332"/>
        <v>1240,025</v>
      </c>
      <c r="C703" s="34" t="str">
        <f>VLOOKUP(D703,[1]apoio_Preços_MGS!$A$6:$B$238,2,FALSE)</f>
        <v>TRABALHADOR DA MANUTENÇÃO PREDIAL E INSTALAÇÕES</v>
      </c>
      <c r="D703" s="35">
        <v>124</v>
      </c>
      <c r="E703" s="33" t="str">
        <f>VLOOKUP(D703,[1]apoio_Preços_MGS!$A$6:$F$238,6,FALSE)</f>
        <v>TRABALHADOR DA MANUTENÇÃO PREDIAL E INSTALAÇÕES - DIARISTA DIURNO - 44H</v>
      </c>
      <c r="F703" s="36">
        <f>IFERROR(VLOOKUP(D703,'[1]apoio_cód catmas'!$B$2:$C$863,2,FALSE),0)</f>
        <v>106291</v>
      </c>
      <c r="G703" s="33" t="str">
        <f>IF(H703="N/A",VLOOKUP(F703&amp;40,'[1]apoio_cód catmas'!$A$1:$G$233,4,FALSE),VLOOKUP(F703&amp;H703,'[1]apoio_cód catmas'!$A$1:$G$233,4,FALSE))</f>
        <v>TRABALHADOR DA MANUTENCAO PREDIAL E INSTALACOES - 40H OU 44H</v>
      </c>
      <c r="H703" s="36">
        <v>44</v>
      </c>
      <c r="I703" s="37">
        <v>2.5000000000000001E-2</v>
      </c>
      <c r="J703" s="38" t="s">
        <v>46</v>
      </c>
      <c r="K703" s="39">
        <v>2</v>
      </c>
      <c r="L703" s="39">
        <f t="shared" si="334"/>
        <v>120</v>
      </c>
      <c r="M703" s="40">
        <f>VLOOKUP(D703,[1]apoio_Preços_MGS!$A$6:$AN$238,18,FALSE)</f>
        <v>2754.2495376098846</v>
      </c>
      <c r="N703" s="40">
        <f>VLOOKUP(D703,[1]apoio_Preços_MGS!$A$6:$AN$238,19,FALSE)</f>
        <v>0</v>
      </c>
      <c r="O703" s="40">
        <f>VLOOKUP(D703,[1]apoio_Preços_MGS!$A$6:$AN$238,20,FALSE)</f>
        <v>0</v>
      </c>
      <c r="P703" s="40">
        <f>VLOOKUP(D703,[1]apoio_Preços_MGS!$A$6:$AN$238,21,FALSE)</f>
        <v>0</v>
      </c>
      <c r="Q703" s="40">
        <f>VLOOKUP(D703,[1]apoio_Preços_MGS!$A$6:$AN$238,22,FALSE)</f>
        <v>0</v>
      </c>
      <c r="R703" s="40">
        <f>VLOOKUP(D703,[1]apoio_Preços_MGS!$A$6:$AN$238,23,FALSE)</f>
        <v>0</v>
      </c>
      <c r="S703" s="40">
        <f>VLOOKUP(D703,[1]apoio_Preços_MGS!$A$6:$AN$238,24,FALSE)</f>
        <v>0</v>
      </c>
      <c r="T703" s="40">
        <f>VLOOKUP(D703,[1]apoio_Preços_MGS!$A$6:$AN$238,25,FALSE)</f>
        <v>0</v>
      </c>
      <c r="U703" s="40">
        <f t="shared" si="340"/>
        <v>2754.2495376098846</v>
      </c>
      <c r="V703" s="41">
        <v>0.81799999999999995</v>
      </c>
      <c r="W703" s="40">
        <f t="shared" si="341"/>
        <v>2252.9761217648856</v>
      </c>
      <c r="X703" s="40">
        <f>VLOOKUP(D703,[1]apoio_Preços_MGS!$A$6:$AN$238,29,FALSE)</f>
        <v>19.18</v>
      </c>
      <c r="Y703" s="40">
        <f>VLOOKUP(D703,[1]apoio_Preços_MGS!$A$6:$AN$238,30,FALSE)</f>
        <v>52.615447885447871</v>
      </c>
      <c r="Z703" s="40">
        <f t="shared" si="346"/>
        <v>71.795447885447871</v>
      </c>
      <c r="AA703" s="40">
        <f>VLOOKUP(D703,[1]apoio_Preços_MGS!$A$6:$AN$238,32,FALSE)</f>
        <v>5.2881591122109777</v>
      </c>
      <c r="AB703" s="40">
        <f>VLOOKUP(D703,[1]apoio_Preços_MGS!$A$6:$AN$238,33,FALSE)</f>
        <v>201.79439560439556</v>
      </c>
      <c r="AC703" s="41">
        <f>VLOOKUP(D703,[1]apoio_Preços_MGS!$A$6:$AN$238,34,FALSE)</f>
        <v>3.2904213048597905E-2</v>
      </c>
      <c r="AD703" s="40">
        <f>(U703+W703+Z703+AB703+AA703+VLOOKUP(C703,[1]apoio_Prec_Folha!$A:$S,7,FALSE))*AC703</f>
        <v>192.00439352782072</v>
      </c>
      <c r="AE703" s="42">
        <f>VLOOKUP(D703,[1]apoio_Preços_MGS!$A$6:$AN$238,36,FALSE)</f>
        <v>7.0000000000000007E-2</v>
      </c>
      <c r="AF703" s="40">
        <f>(U703+W703+Z703+AB703+AD703+AA703+VLOOKUP(C703,[1]apoio_Prec_Folha!$A:$S,7,FALSE))*AE703</f>
        <v>421.9079869622484</v>
      </c>
      <c r="AG703" s="40">
        <f t="shared" si="347"/>
        <v>5900.01</v>
      </c>
      <c r="AH703" s="43">
        <f t="shared" si="348"/>
        <v>6685.53</v>
      </c>
      <c r="AI703" s="43">
        <f t="shared" si="349"/>
        <v>13371.06</v>
      </c>
      <c r="AJ703" s="43">
        <f t="shared" si="350"/>
        <v>802263.6</v>
      </c>
      <c r="AK703" s="44">
        <f>VLOOKUP(D703,[1]apoio_Preços_MGS!$A$6:$AN$238,39,FALSE)</f>
        <v>200.00000000000003</v>
      </c>
      <c r="AL703" s="44">
        <f>IF(J703="demais municípios",VLOOKUP(D703,[1]apoio_Preços_MGS!$A$6:$AN$238,39,FALSE),0)</f>
        <v>200.00000000000003</v>
      </c>
      <c r="AM703" s="44">
        <v>0</v>
      </c>
      <c r="AN703" s="45">
        <f t="shared" si="361"/>
        <v>400.00000000000006</v>
      </c>
      <c r="AO703" s="44">
        <f>VLOOKUP(D703,[1]apoio_Preços_MGS!$A$6:$AN$238,40,FALSE)</f>
        <v>549.14</v>
      </c>
      <c r="AP703" s="44">
        <f>IF(J703="demais municípios",VLOOKUP(D703,[1]apoio_Preços_MGS!$A$6:$AN$238,40,FALSE),0)</f>
        <v>549.14</v>
      </c>
      <c r="AQ703" s="44">
        <v>0</v>
      </c>
      <c r="AR703" s="45">
        <f t="shared" si="362"/>
        <v>1098.28</v>
      </c>
      <c r="AS703" s="45">
        <f t="shared" si="333"/>
        <v>1498.28</v>
      </c>
      <c r="AT703" s="45">
        <f t="shared" si="335"/>
        <v>89896.8</v>
      </c>
      <c r="AU703" s="62"/>
      <c r="AV703" s="46"/>
      <c r="AW703" s="47"/>
      <c r="AX703" s="48"/>
      <c r="AY703" s="49"/>
      <c r="BA703" s="48"/>
    </row>
    <row r="704" spans="1:53" ht="19.5" customHeight="1" x14ac:dyDescent="0.25">
      <c r="A704" s="33" t="str">
        <f t="shared" si="331"/>
        <v>106291440,03</v>
      </c>
      <c r="B704" s="33" t="str">
        <f t="shared" si="332"/>
        <v>1240,03</v>
      </c>
      <c r="C704" s="34" t="str">
        <f>VLOOKUP(D704,[1]apoio_Preços_MGS!$A$6:$B$238,2,FALSE)</f>
        <v>TRABALHADOR DA MANUTENÇÃO PREDIAL E INSTALAÇÕES</v>
      </c>
      <c r="D704" s="35">
        <v>124</v>
      </c>
      <c r="E704" s="33" t="str">
        <f>VLOOKUP(D704,[1]apoio_Preços_MGS!$A$6:$F$238,6,FALSE)</f>
        <v>TRABALHADOR DA MANUTENÇÃO PREDIAL E INSTALAÇÕES - DIARISTA DIURNO - 44H</v>
      </c>
      <c r="F704" s="36">
        <f>IFERROR(VLOOKUP(D704,'[1]apoio_cód catmas'!$B$2:$C$863,2,FALSE),0)</f>
        <v>106291</v>
      </c>
      <c r="G704" s="33" t="str">
        <f>IF(H704="N/A",VLOOKUP(F704&amp;40,'[1]apoio_cód catmas'!$A$1:$G$233,4,FALSE),VLOOKUP(F704&amp;H704,'[1]apoio_cód catmas'!$A$1:$G$233,4,FALSE))</f>
        <v>TRABALHADOR DA MANUTENCAO PREDIAL E INSTALACOES - 40H OU 44H</v>
      </c>
      <c r="H704" s="36">
        <v>44</v>
      </c>
      <c r="I704" s="37">
        <v>0.03</v>
      </c>
      <c r="J704" s="38" t="s">
        <v>46</v>
      </c>
      <c r="K704" s="39">
        <f>20-2</f>
        <v>18</v>
      </c>
      <c r="L704" s="39">
        <f t="shared" si="334"/>
        <v>1080</v>
      </c>
      <c r="M704" s="40">
        <f>VLOOKUP(D704,[1]apoio_Preços_MGS!$A$6:$AN$238,18,FALSE)</f>
        <v>2754.2495376098846</v>
      </c>
      <c r="N704" s="40">
        <f>VLOOKUP(D704,[1]apoio_Preços_MGS!$A$6:$AN$238,19,FALSE)</f>
        <v>0</v>
      </c>
      <c r="O704" s="40">
        <f>VLOOKUP(D704,[1]apoio_Preços_MGS!$A$6:$AN$238,20,FALSE)</f>
        <v>0</v>
      </c>
      <c r="P704" s="40">
        <f>VLOOKUP(D704,[1]apoio_Preços_MGS!$A$6:$AN$238,21,FALSE)</f>
        <v>0</v>
      </c>
      <c r="Q704" s="40">
        <f>VLOOKUP(D704,[1]apoio_Preços_MGS!$A$6:$AN$238,22,FALSE)</f>
        <v>0</v>
      </c>
      <c r="R704" s="40">
        <f>VLOOKUP(D704,[1]apoio_Preços_MGS!$A$6:$AN$238,23,FALSE)</f>
        <v>0</v>
      </c>
      <c r="S704" s="40">
        <f>VLOOKUP(D704,[1]apoio_Preços_MGS!$A$6:$AN$238,24,FALSE)</f>
        <v>0</v>
      </c>
      <c r="T704" s="40">
        <f>VLOOKUP(D704,[1]apoio_Preços_MGS!$A$6:$AN$238,25,FALSE)</f>
        <v>0</v>
      </c>
      <c r="U704" s="40">
        <f t="shared" si="340"/>
        <v>2754.2495376098846</v>
      </c>
      <c r="V704" s="41">
        <v>0.81799999999999995</v>
      </c>
      <c r="W704" s="40">
        <f t="shared" si="341"/>
        <v>2252.9761217648856</v>
      </c>
      <c r="X704" s="40">
        <f>VLOOKUP(D704,[1]apoio_Preços_MGS!$A$6:$AN$238,29,FALSE)</f>
        <v>19.18</v>
      </c>
      <c r="Y704" s="40">
        <f>VLOOKUP(D704,[1]apoio_Preços_MGS!$A$6:$AN$238,30,FALSE)</f>
        <v>52.615447885447871</v>
      </c>
      <c r="Z704" s="40">
        <f t="shared" si="346"/>
        <v>71.795447885447871</v>
      </c>
      <c r="AA704" s="40">
        <f>VLOOKUP(D704,[1]apoio_Preços_MGS!$A$6:$AN$238,32,FALSE)</f>
        <v>5.2881591122109777</v>
      </c>
      <c r="AB704" s="40">
        <f>VLOOKUP(D704,[1]apoio_Preços_MGS!$A$6:$AN$238,33,FALSE)</f>
        <v>201.79439560439556</v>
      </c>
      <c r="AC704" s="41">
        <f>VLOOKUP(D704,[1]apoio_Preços_MGS!$A$6:$AN$238,34,FALSE)</f>
        <v>3.2904213048597905E-2</v>
      </c>
      <c r="AD704" s="40">
        <f>(U704+W704+Z704+AB704+AA704+VLOOKUP(C704,[1]apoio_Prec_Folha!$A:$S,7,FALSE))*AC704</f>
        <v>192.00439352782072</v>
      </c>
      <c r="AE704" s="42">
        <f>VLOOKUP(D704,[1]apoio_Preços_MGS!$A$6:$AN$238,36,FALSE)</f>
        <v>7.0000000000000007E-2</v>
      </c>
      <c r="AF704" s="40">
        <f>(U704+W704+Z704+AB704+AD704+AA704+VLOOKUP(C704,[1]apoio_Prec_Folha!$A:$S,7,FALSE))*AE704</f>
        <v>421.9079869622484</v>
      </c>
      <c r="AG704" s="40">
        <f t="shared" si="347"/>
        <v>5900.01</v>
      </c>
      <c r="AH704" s="43">
        <f t="shared" si="348"/>
        <v>6723.65</v>
      </c>
      <c r="AI704" s="43">
        <f t="shared" si="349"/>
        <v>121025.7</v>
      </c>
      <c r="AJ704" s="43">
        <f t="shared" si="350"/>
        <v>7261542</v>
      </c>
      <c r="AK704" s="44">
        <f>VLOOKUP(D704,[1]apoio_Preços_MGS!$A$6:$AN$238,39,FALSE)</f>
        <v>200.00000000000003</v>
      </c>
      <c r="AL704" s="44">
        <f>IF(J704="demais municípios",VLOOKUP(D704,[1]apoio_Preços_MGS!$A$6:$AN$238,39,FALSE),0)</f>
        <v>200.00000000000003</v>
      </c>
      <c r="AM704" s="44">
        <v>0</v>
      </c>
      <c r="AN704" s="45">
        <f t="shared" si="361"/>
        <v>3600.0000000000005</v>
      </c>
      <c r="AO704" s="44">
        <f>VLOOKUP(D704,[1]apoio_Preços_MGS!$A$6:$AN$238,40,FALSE)</f>
        <v>549.14</v>
      </c>
      <c r="AP704" s="44">
        <f>IF(J704="demais municípios",VLOOKUP(D704,[1]apoio_Preços_MGS!$A$6:$AN$238,40,FALSE),0)</f>
        <v>549.14</v>
      </c>
      <c r="AQ704" s="44">
        <v>0</v>
      </c>
      <c r="AR704" s="45">
        <f t="shared" si="362"/>
        <v>9884.52</v>
      </c>
      <c r="AS704" s="45">
        <f t="shared" si="333"/>
        <v>13484.52</v>
      </c>
      <c r="AT704" s="45">
        <f t="shared" si="335"/>
        <v>809071.20000000007</v>
      </c>
      <c r="AU704" s="62"/>
      <c r="AV704" s="46"/>
      <c r="AW704" s="47"/>
      <c r="AX704" s="48"/>
      <c r="AY704" s="49"/>
      <c r="BA704" s="48"/>
    </row>
    <row r="705" spans="1:53" ht="19.5" customHeight="1" x14ac:dyDescent="0.25">
      <c r="A705" s="33" t="str">
        <f t="shared" si="331"/>
        <v>106291440,035</v>
      </c>
      <c r="B705" s="33" t="str">
        <f t="shared" si="332"/>
        <v>1240,035</v>
      </c>
      <c r="C705" s="34" t="str">
        <f>VLOOKUP(D705,[1]apoio_Preços_MGS!$A$6:$B$238,2,FALSE)</f>
        <v>TRABALHADOR DA MANUTENÇÃO PREDIAL E INSTALAÇÕES</v>
      </c>
      <c r="D705" s="35">
        <v>124</v>
      </c>
      <c r="E705" s="33" t="str">
        <f>VLOOKUP(D705,[1]apoio_Preços_MGS!$A$6:$F$238,6,FALSE)</f>
        <v>TRABALHADOR DA MANUTENÇÃO PREDIAL E INSTALAÇÕES - DIARISTA DIURNO - 44H</v>
      </c>
      <c r="F705" s="36">
        <f>IFERROR(VLOOKUP(D705,'[1]apoio_cód catmas'!$B$2:$C$863,2,FALSE),0)</f>
        <v>106291</v>
      </c>
      <c r="G705" s="33" t="str">
        <f>IF(H705="N/A",VLOOKUP(F705&amp;40,'[1]apoio_cód catmas'!$A$1:$G$233,4,FALSE),VLOOKUP(F705&amp;H705,'[1]apoio_cód catmas'!$A$1:$G$233,4,FALSE))</f>
        <v>TRABALHADOR DA MANUTENCAO PREDIAL E INSTALACOES - 40H OU 44H</v>
      </c>
      <c r="H705" s="36">
        <v>44</v>
      </c>
      <c r="I705" s="37">
        <v>3.5000000000000003E-2</v>
      </c>
      <c r="J705" s="38" t="s">
        <v>46</v>
      </c>
      <c r="K705" s="39">
        <v>2</v>
      </c>
      <c r="L705" s="39">
        <f t="shared" si="334"/>
        <v>120</v>
      </c>
      <c r="M705" s="40">
        <f>VLOOKUP(D705,[1]apoio_Preços_MGS!$A$6:$AN$238,18,FALSE)</f>
        <v>2754.2495376098846</v>
      </c>
      <c r="N705" s="40">
        <f>VLOOKUP(D705,[1]apoio_Preços_MGS!$A$6:$AN$238,19,FALSE)</f>
        <v>0</v>
      </c>
      <c r="O705" s="40">
        <f>VLOOKUP(D705,[1]apoio_Preços_MGS!$A$6:$AN$238,20,FALSE)</f>
        <v>0</v>
      </c>
      <c r="P705" s="40">
        <f>VLOOKUP(D705,[1]apoio_Preços_MGS!$A$6:$AN$238,21,FALSE)</f>
        <v>0</v>
      </c>
      <c r="Q705" s="40">
        <f>VLOOKUP(D705,[1]apoio_Preços_MGS!$A$6:$AN$238,22,FALSE)</f>
        <v>0</v>
      </c>
      <c r="R705" s="40">
        <f>VLOOKUP(D705,[1]apoio_Preços_MGS!$A$6:$AN$238,23,FALSE)</f>
        <v>0</v>
      </c>
      <c r="S705" s="40">
        <f>VLOOKUP(D705,[1]apoio_Preços_MGS!$A$6:$AN$238,24,FALSE)</f>
        <v>0</v>
      </c>
      <c r="T705" s="40">
        <f>VLOOKUP(D705,[1]apoio_Preços_MGS!$A$6:$AN$238,25,FALSE)</f>
        <v>0</v>
      </c>
      <c r="U705" s="40">
        <f t="shared" si="340"/>
        <v>2754.2495376098846</v>
      </c>
      <c r="V705" s="41">
        <v>0.81799999999999995</v>
      </c>
      <c r="W705" s="40">
        <f t="shared" si="341"/>
        <v>2252.9761217648856</v>
      </c>
      <c r="X705" s="40">
        <f>VLOOKUP(D705,[1]apoio_Preços_MGS!$A$6:$AN$238,29,FALSE)</f>
        <v>19.18</v>
      </c>
      <c r="Y705" s="40">
        <f>VLOOKUP(D705,[1]apoio_Preços_MGS!$A$6:$AN$238,30,FALSE)</f>
        <v>52.615447885447871</v>
      </c>
      <c r="Z705" s="40">
        <f t="shared" si="346"/>
        <v>71.795447885447871</v>
      </c>
      <c r="AA705" s="40">
        <f>VLOOKUP(D705,[1]apoio_Preços_MGS!$A$6:$AN$238,32,FALSE)</f>
        <v>5.2881591122109777</v>
      </c>
      <c r="AB705" s="40">
        <f>VLOOKUP(D705,[1]apoio_Preços_MGS!$A$6:$AN$238,33,FALSE)</f>
        <v>201.79439560439556</v>
      </c>
      <c r="AC705" s="41">
        <f>VLOOKUP(D705,[1]apoio_Preços_MGS!$A$6:$AN$238,34,FALSE)</f>
        <v>3.2904213048597905E-2</v>
      </c>
      <c r="AD705" s="40">
        <f>(U705+W705+Z705+AB705+AA705+VLOOKUP(C705,[1]apoio_Prec_Folha!$A:$S,7,FALSE))*AC705</f>
        <v>192.00439352782072</v>
      </c>
      <c r="AE705" s="42">
        <f>VLOOKUP(D705,[1]apoio_Preços_MGS!$A$6:$AN$238,36,FALSE)</f>
        <v>7.0000000000000007E-2</v>
      </c>
      <c r="AF705" s="40">
        <f>(U705+W705+Z705+AB705+AD705+AA705+VLOOKUP(C705,[1]apoio_Prec_Folha!$A:$S,7,FALSE))*AE705</f>
        <v>421.9079869622484</v>
      </c>
      <c r="AG705" s="40">
        <f t="shared" si="347"/>
        <v>5900.01</v>
      </c>
      <c r="AH705" s="43">
        <f t="shared" si="348"/>
        <v>6762.17</v>
      </c>
      <c r="AI705" s="43">
        <f t="shared" si="349"/>
        <v>13524.34</v>
      </c>
      <c r="AJ705" s="43">
        <f t="shared" si="350"/>
        <v>811460.4</v>
      </c>
      <c r="AK705" s="44">
        <f>VLOOKUP(D705,[1]apoio_Preços_MGS!$A$6:$AN$238,39,FALSE)</f>
        <v>200.00000000000003</v>
      </c>
      <c r="AL705" s="44">
        <f>IF(J705="demais municípios",VLOOKUP(D705,[1]apoio_Preços_MGS!$A$6:$AN$238,39,FALSE),0)</f>
        <v>200.00000000000003</v>
      </c>
      <c r="AM705" s="44">
        <v>0</v>
      </c>
      <c r="AN705" s="45">
        <f t="shared" si="361"/>
        <v>400.00000000000006</v>
      </c>
      <c r="AO705" s="44">
        <f>VLOOKUP(D705,[1]apoio_Preços_MGS!$A$6:$AN$238,40,FALSE)</f>
        <v>549.14</v>
      </c>
      <c r="AP705" s="44">
        <f>IF(J705="demais municípios",VLOOKUP(D705,[1]apoio_Preços_MGS!$A$6:$AN$238,40,FALSE),0)</f>
        <v>549.14</v>
      </c>
      <c r="AQ705" s="44">
        <v>0</v>
      </c>
      <c r="AR705" s="45">
        <f t="shared" si="362"/>
        <v>1098.28</v>
      </c>
      <c r="AS705" s="45">
        <f t="shared" si="333"/>
        <v>1498.28</v>
      </c>
      <c r="AT705" s="45">
        <f t="shared" si="335"/>
        <v>89896.8</v>
      </c>
      <c r="AU705" s="62"/>
      <c r="AV705" s="46"/>
      <c r="AW705" s="47"/>
      <c r="AX705" s="48"/>
      <c r="AY705" s="49"/>
      <c r="BA705" s="48"/>
    </row>
    <row r="706" spans="1:53" ht="19.5" customHeight="1" x14ac:dyDescent="0.25">
      <c r="A706" s="33" t="str">
        <f t="shared" si="331"/>
        <v>106291440,04</v>
      </c>
      <c r="B706" s="33" t="str">
        <f t="shared" si="332"/>
        <v>1240,04</v>
      </c>
      <c r="C706" s="34" t="str">
        <f>VLOOKUP(D706,[1]apoio_Preços_MGS!$A$6:$B$238,2,FALSE)</f>
        <v>TRABALHADOR DA MANUTENÇÃO PREDIAL E INSTALAÇÕES</v>
      </c>
      <c r="D706" s="35">
        <v>124</v>
      </c>
      <c r="E706" s="33" t="str">
        <f>VLOOKUP(D706,[1]apoio_Preços_MGS!$A$6:$F$238,6,FALSE)</f>
        <v>TRABALHADOR DA MANUTENÇÃO PREDIAL E INSTALAÇÕES - DIARISTA DIURNO - 44H</v>
      </c>
      <c r="F706" s="36">
        <f>IFERROR(VLOOKUP(D706,'[1]apoio_cód catmas'!$B$2:$C$863,2,FALSE),0)</f>
        <v>106291</v>
      </c>
      <c r="G706" s="33" t="str">
        <f>IF(H706="N/A",VLOOKUP(F706&amp;40,'[1]apoio_cód catmas'!$A$1:$G$233,4,FALSE),VLOOKUP(F706&amp;H706,'[1]apoio_cód catmas'!$A$1:$G$233,4,FALSE))</f>
        <v>TRABALHADOR DA MANUTENCAO PREDIAL E INSTALACOES - 40H OU 44H</v>
      </c>
      <c r="H706" s="36">
        <v>44</v>
      </c>
      <c r="I706" s="37">
        <v>0.04</v>
      </c>
      <c r="J706" s="38" t="s">
        <v>46</v>
      </c>
      <c r="K706" s="39">
        <v>5</v>
      </c>
      <c r="L706" s="39">
        <f t="shared" si="334"/>
        <v>300</v>
      </c>
      <c r="M706" s="40">
        <f>VLOOKUP(D706,[1]apoio_Preços_MGS!$A$6:$AN$238,18,FALSE)</f>
        <v>2754.2495376098846</v>
      </c>
      <c r="N706" s="40">
        <f>VLOOKUP(D706,[1]apoio_Preços_MGS!$A$6:$AN$238,19,FALSE)</f>
        <v>0</v>
      </c>
      <c r="O706" s="40">
        <f>VLOOKUP(D706,[1]apoio_Preços_MGS!$A$6:$AN$238,20,FALSE)</f>
        <v>0</v>
      </c>
      <c r="P706" s="40">
        <f>VLOOKUP(D706,[1]apoio_Preços_MGS!$A$6:$AN$238,21,FALSE)</f>
        <v>0</v>
      </c>
      <c r="Q706" s="40">
        <f>VLOOKUP(D706,[1]apoio_Preços_MGS!$A$6:$AN$238,22,FALSE)</f>
        <v>0</v>
      </c>
      <c r="R706" s="40">
        <f>VLOOKUP(D706,[1]apoio_Preços_MGS!$A$6:$AN$238,23,FALSE)</f>
        <v>0</v>
      </c>
      <c r="S706" s="40">
        <f>VLOOKUP(D706,[1]apoio_Preços_MGS!$A$6:$AN$238,24,FALSE)</f>
        <v>0</v>
      </c>
      <c r="T706" s="40">
        <f>VLOOKUP(D706,[1]apoio_Preços_MGS!$A$6:$AN$238,25,FALSE)</f>
        <v>0</v>
      </c>
      <c r="U706" s="40">
        <f t="shared" si="340"/>
        <v>2754.2495376098846</v>
      </c>
      <c r="V706" s="41">
        <v>0.81799999999999995</v>
      </c>
      <c r="W706" s="40">
        <f t="shared" si="341"/>
        <v>2252.9761217648856</v>
      </c>
      <c r="X706" s="40">
        <f>VLOOKUP(D706,[1]apoio_Preços_MGS!$A$6:$AN$238,29,FALSE)</f>
        <v>19.18</v>
      </c>
      <c r="Y706" s="40">
        <f>VLOOKUP(D706,[1]apoio_Preços_MGS!$A$6:$AN$238,30,FALSE)</f>
        <v>52.615447885447871</v>
      </c>
      <c r="Z706" s="40">
        <f t="shared" si="346"/>
        <v>71.795447885447871</v>
      </c>
      <c r="AA706" s="40">
        <f>VLOOKUP(D706,[1]apoio_Preços_MGS!$A$6:$AN$238,32,FALSE)</f>
        <v>5.2881591122109777</v>
      </c>
      <c r="AB706" s="40">
        <f>VLOOKUP(D706,[1]apoio_Preços_MGS!$A$6:$AN$238,33,FALSE)</f>
        <v>201.79439560439556</v>
      </c>
      <c r="AC706" s="41">
        <f>VLOOKUP(D706,[1]apoio_Preços_MGS!$A$6:$AN$238,34,FALSE)</f>
        <v>3.2904213048597905E-2</v>
      </c>
      <c r="AD706" s="40">
        <f>(U706+W706+Z706+AB706+AA706+VLOOKUP(C706,[1]apoio_Prec_Folha!$A:$S,7,FALSE))*AC706</f>
        <v>192.00439352782072</v>
      </c>
      <c r="AE706" s="42">
        <f>VLOOKUP(D706,[1]apoio_Preços_MGS!$A$6:$AN$238,36,FALSE)</f>
        <v>7.0000000000000007E-2</v>
      </c>
      <c r="AF706" s="40">
        <f>(U706+W706+Z706+AB706+AD706+AA706+VLOOKUP(C706,[1]apoio_Prec_Folha!$A:$S,7,FALSE))*AE706</f>
        <v>421.9079869622484</v>
      </c>
      <c r="AG706" s="40">
        <f t="shared" si="347"/>
        <v>5900.01</v>
      </c>
      <c r="AH706" s="43">
        <f t="shared" si="348"/>
        <v>6801.17</v>
      </c>
      <c r="AI706" s="43">
        <f t="shared" si="349"/>
        <v>34005.85</v>
      </c>
      <c r="AJ706" s="43">
        <f t="shared" si="350"/>
        <v>2040351</v>
      </c>
      <c r="AK706" s="44">
        <f>VLOOKUP(D706,[1]apoio_Preços_MGS!$A$6:$AN$238,39,FALSE)</f>
        <v>200.00000000000003</v>
      </c>
      <c r="AL706" s="44">
        <f>IF(J706="demais municípios",VLOOKUP(D706,[1]apoio_Preços_MGS!$A$6:$AN$238,39,FALSE),0)</f>
        <v>200.00000000000003</v>
      </c>
      <c r="AM706" s="44">
        <v>0</v>
      </c>
      <c r="AN706" s="45">
        <f t="shared" si="361"/>
        <v>1000.0000000000001</v>
      </c>
      <c r="AO706" s="44">
        <f>VLOOKUP(D706,[1]apoio_Preços_MGS!$A$6:$AN$238,40,FALSE)</f>
        <v>549.14</v>
      </c>
      <c r="AP706" s="44">
        <f>IF(J706="demais municípios",VLOOKUP(D706,[1]apoio_Preços_MGS!$A$6:$AN$238,40,FALSE),0)</f>
        <v>549.14</v>
      </c>
      <c r="AQ706" s="44">
        <v>0</v>
      </c>
      <c r="AR706" s="45">
        <f t="shared" si="362"/>
        <v>2745.7</v>
      </c>
      <c r="AS706" s="45">
        <f t="shared" si="333"/>
        <v>3745.7</v>
      </c>
      <c r="AT706" s="45">
        <f t="shared" si="335"/>
        <v>224742</v>
      </c>
      <c r="AU706" s="62"/>
      <c r="AV706" s="46"/>
      <c r="AW706" s="47"/>
      <c r="AX706" s="48"/>
      <c r="AY706" s="49"/>
      <c r="BA706" s="48"/>
    </row>
    <row r="707" spans="1:53" ht="19.5" customHeight="1" x14ac:dyDescent="0.25">
      <c r="A707" s="33" t="str">
        <f t="shared" si="331"/>
        <v>106291440,05</v>
      </c>
      <c r="B707" s="33" t="str">
        <f t="shared" si="332"/>
        <v>1240,05</v>
      </c>
      <c r="C707" s="34" t="str">
        <f>VLOOKUP(D707,[1]apoio_Preços_MGS!$A$6:$B$238,2,FALSE)</f>
        <v>TRABALHADOR DA MANUTENÇÃO PREDIAL E INSTALAÇÕES</v>
      </c>
      <c r="D707" s="35">
        <v>124</v>
      </c>
      <c r="E707" s="33" t="str">
        <f>VLOOKUP(D707,[1]apoio_Preços_MGS!$A$6:$F$238,6,FALSE)</f>
        <v>TRABALHADOR DA MANUTENÇÃO PREDIAL E INSTALAÇÕES - DIARISTA DIURNO - 44H</v>
      </c>
      <c r="F707" s="36">
        <f>IFERROR(VLOOKUP(D707,'[1]apoio_cód catmas'!$B$2:$C$863,2,FALSE),0)</f>
        <v>106291</v>
      </c>
      <c r="G707" s="33" t="str">
        <f>IF(H707="N/A",VLOOKUP(F707&amp;40,'[1]apoio_cód catmas'!$A$1:$G$233,4,FALSE),VLOOKUP(F707&amp;H707,'[1]apoio_cód catmas'!$A$1:$G$233,4,FALSE))</f>
        <v>TRABALHADOR DA MANUTENCAO PREDIAL E INSTALACOES - 40H OU 44H</v>
      </c>
      <c r="H707" s="36">
        <v>44</v>
      </c>
      <c r="I707" s="37">
        <v>0.05</v>
      </c>
      <c r="J707" s="38" t="s">
        <v>46</v>
      </c>
      <c r="K707" s="39">
        <v>2</v>
      </c>
      <c r="L707" s="39">
        <f>K707*56</f>
        <v>112</v>
      </c>
      <c r="M707" s="40">
        <f>VLOOKUP(D707,[1]apoio_Preços_MGS!$A$6:$AN$238,18,FALSE)</f>
        <v>2754.2495376098846</v>
      </c>
      <c r="N707" s="40">
        <f>VLOOKUP(D707,[1]apoio_Preços_MGS!$A$6:$AN$238,19,FALSE)</f>
        <v>0</v>
      </c>
      <c r="O707" s="40">
        <f>VLOOKUP(D707,[1]apoio_Preços_MGS!$A$6:$AN$238,20,FALSE)</f>
        <v>0</v>
      </c>
      <c r="P707" s="40">
        <f>VLOOKUP(D707,[1]apoio_Preços_MGS!$A$6:$AN$238,21,FALSE)</f>
        <v>0</v>
      </c>
      <c r="Q707" s="40">
        <f>VLOOKUP(D707,[1]apoio_Preços_MGS!$A$6:$AN$238,22,FALSE)</f>
        <v>0</v>
      </c>
      <c r="R707" s="40">
        <f>VLOOKUP(D707,[1]apoio_Preços_MGS!$A$6:$AN$238,23,FALSE)</f>
        <v>0</v>
      </c>
      <c r="S707" s="40">
        <f>VLOOKUP(D707,[1]apoio_Preços_MGS!$A$6:$AN$238,24,FALSE)</f>
        <v>0</v>
      </c>
      <c r="T707" s="40">
        <f>VLOOKUP(D707,[1]apoio_Preços_MGS!$A$6:$AN$238,25,FALSE)</f>
        <v>0</v>
      </c>
      <c r="U707" s="40">
        <f t="shared" si="340"/>
        <v>2754.2495376098846</v>
      </c>
      <c r="V707" s="41">
        <v>0.81799999999999995</v>
      </c>
      <c r="W707" s="40">
        <f t="shared" si="341"/>
        <v>2252.9761217648856</v>
      </c>
      <c r="X707" s="40">
        <f>VLOOKUP(D707,[1]apoio_Preços_MGS!$A$6:$AN$238,29,FALSE)</f>
        <v>19.18</v>
      </c>
      <c r="Y707" s="40">
        <f>VLOOKUP(D707,[1]apoio_Preços_MGS!$A$6:$AN$238,30,FALSE)</f>
        <v>52.615447885447871</v>
      </c>
      <c r="Z707" s="40">
        <f t="shared" si="346"/>
        <v>71.795447885447871</v>
      </c>
      <c r="AA707" s="40">
        <f>VLOOKUP(D707,[1]apoio_Preços_MGS!$A$6:$AN$238,32,FALSE)</f>
        <v>5.2881591122109777</v>
      </c>
      <c r="AB707" s="40">
        <f>VLOOKUP(D707,[1]apoio_Preços_MGS!$A$6:$AN$238,33,FALSE)</f>
        <v>201.79439560439556</v>
      </c>
      <c r="AC707" s="41">
        <f>VLOOKUP(D707,[1]apoio_Preços_MGS!$A$6:$AN$238,34,FALSE)</f>
        <v>3.2904213048597905E-2</v>
      </c>
      <c r="AD707" s="40">
        <f>(U707+W707+Z707+AB707+AA707+VLOOKUP(C707,[1]apoio_Prec_Folha!$A:$S,7,FALSE))*AC707</f>
        <v>192.00439352782072</v>
      </c>
      <c r="AE707" s="42">
        <f>VLOOKUP(D707,[1]apoio_Preços_MGS!$A$6:$AN$238,36,FALSE)</f>
        <v>7.0000000000000007E-2</v>
      </c>
      <c r="AF707" s="40">
        <f>(U707+W707+Z707+AB707+AD707+AA707+VLOOKUP(C707,[1]apoio_Prec_Folha!$A:$S,7,FALSE))*AE707</f>
        <v>421.9079869622484</v>
      </c>
      <c r="AG707" s="40">
        <f t="shared" si="347"/>
        <v>5900.01</v>
      </c>
      <c r="AH707" s="43">
        <f t="shared" si="348"/>
        <v>6880.47</v>
      </c>
      <c r="AI707" s="43">
        <f t="shared" si="349"/>
        <v>13760.94</v>
      </c>
      <c r="AJ707" s="43">
        <f t="shared" si="350"/>
        <v>770612.64</v>
      </c>
      <c r="AK707" s="44">
        <f>VLOOKUP(D707,[1]apoio_Preços_MGS!$A$6:$AN$238,39,FALSE)</f>
        <v>200.00000000000003</v>
      </c>
      <c r="AL707" s="44">
        <f>IF(J707="demais municípios",VLOOKUP(D707,[1]apoio_Preços_MGS!$A$6:$AN$238,39,FALSE),0)</f>
        <v>200.00000000000003</v>
      </c>
      <c r="AM707" s="44">
        <v>0</v>
      </c>
      <c r="AN707" s="45">
        <f t="shared" si="361"/>
        <v>400.00000000000006</v>
      </c>
      <c r="AO707" s="44">
        <f>VLOOKUP(D707,[1]apoio_Preços_MGS!$A$6:$AN$238,40,FALSE)</f>
        <v>549.14</v>
      </c>
      <c r="AP707" s="44">
        <f>IF(J707="demais municípios",VLOOKUP(D707,[1]apoio_Preços_MGS!$A$6:$AN$238,40,FALSE),0)</f>
        <v>549.14</v>
      </c>
      <c r="AQ707" s="44">
        <v>0</v>
      </c>
      <c r="AR707" s="45">
        <f t="shared" si="362"/>
        <v>1098.28</v>
      </c>
      <c r="AS707" s="45">
        <f t="shared" si="333"/>
        <v>1498.28</v>
      </c>
      <c r="AT707" s="45">
        <f t="shared" si="335"/>
        <v>89896.8</v>
      </c>
      <c r="AU707" s="62"/>
      <c r="AV707" s="46"/>
      <c r="AW707" s="47"/>
      <c r="AX707" s="48"/>
      <c r="AY707" s="49"/>
      <c r="BA707" s="48"/>
    </row>
    <row r="708" spans="1:53" ht="19.5" customHeight="1" x14ac:dyDescent="0.25">
      <c r="A708" s="33" t="str">
        <f t="shared" si="331"/>
        <v>106291440,05</v>
      </c>
      <c r="B708" s="33" t="str">
        <f t="shared" si="332"/>
        <v>1240,05</v>
      </c>
      <c r="C708" s="34" t="str">
        <f>VLOOKUP(D708,[1]apoio_Preços_MGS!$A$6:$B$238,2,FALSE)</f>
        <v>TRABALHADOR DA MANUTENÇÃO PREDIAL E INSTALAÇÕES</v>
      </c>
      <c r="D708" s="35">
        <v>124</v>
      </c>
      <c r="E708" s="33" t="str">
        <f>VLOOKUP(D708,[1]apoio_Preços_MGS!$A$6:$F$238,6,FALSE)</f>
        <v>TRABALHADOR DA MANUTENÇÃO PREDIAL E INSTALAÇÕES - DIARISTA DIURNO - 44H</v>
      </c>
      <c r="F708" s="36">
        <f>IFERROR(VLOOKUP(D708,'[1]apoio_cód catmas'!$B$2:$C$863,2,FALSE),0)</f>
        <v>106291</v>
      </c>
      <c r="G708" s="33" t="str">
        <f>IF(H708="N/A",VLOOKUP(F708&amp;40,'[1]apoio_cód catmas'!$A$1:$G$233,4,FALSE),VLOOKUP(F708&amp;H708,'[1]apoio_cód catmas'!$A$1:$G$233,4,FALSE))</f>
        <v>TRABALHADOR DA MANUTENCAO PREDIAL E INSTALACOES - 40H OU 44H</v>
      </c>
      <c r="H708" s="36">
        <v>44</v>
      </c>
      <c r="I708" s="37">
        <v>0.05</v>
      </c>
      <c r="J708" s="38" t="s">
        <v>46</v>
      </c>
      <c r="K708" s="39">
        <f>76-K709</f>
        <v>1</v>
      </c>
      <c r="L708" s="39">
        <f t="shared" si="334"/>
        <v>60</v>
      </c>
      <c r="M708" s="40">
        <f>VLOOKUP(D708,[1]apoio_Preços_MGS!$A$6:$AN$238,18,FALSE)</f>
        <v>2754.2495376098846</v>
      </c>
      <c r="N708" s="40">
        <f>VLOOKUP(D708,[1]apoio_Preços_MGS!$A$6:$AN$238,19,FALSE)</f>
        <v>0</v>
      </c>
      <c r="O708" s="40">
        <f>VLOOKUP(D708,[1]apoio_Preços_MGS!$A$6:$AN$238,20,FALSE)</f>
        <v>0</v>
      </c>
      <c r="P708" s="40">
        <f>VLOOKUP(D708,[1]apoio_Preços_MGS!$A$6:$AN$238,21,FALSE)</f>
        <v>0</v>
      </c>
      <c r="Q708" s="40">
        <f>VLOOKUP(D708,[1]apoio_Preços_MGS!$A$6:$AN$238,22,FALSE)</f>
        <v>0</v>
      </c>
      <c r="R708" s="40">
        <f>VLOOKUP(D708,[1]apoio_Preços_MGS!$A$6:$AN$238,23,FALSE)</f>
        <v>0</v>
      </c>
      <c r="S708" s="40">
        <f>VLOOKUP(D708,[1]apoio_Preços_MGS!$A$6:$AN$238,24,FALSE)</f>
        <v>0</v>
      </c>
      <c r="T708" s="40">
        <f>VLOOKUP(D708,[1]apoio_Preços_MGS!$A$6:$AN$238,25,FALSE)</f>
        <v>0</v>
      </c>
      <c r="U708" s="40">
        <f t="shared" si="340"/>
        <v>2754.2495376098846</v>
      </c>
      <c r="V708" s="41">
        <v>0.81799999999999995</v>
      </c>
      <c r="W708" s="40">
        <f t="shared" si="341"/>
        <v>2252.9761217648856</v>
      </c>
      <c r="X708" s="40">
        <f>VLOOKUP(D708,[1]apoio_Preços_MGS!$A$6:$AN$238,29,FALSE)</f>
        <v>19.18</v>
      </c>
      <c r="Y708" s="40">
        <f>VLOOKUP(D708,[1]apoio_Preços_MGS!$A$6:$AN$238,30,FALSE)</f>
        <v>52.615447885447871</v>
      </c>
      <c r="Z708" s="40">
        <f t="shared" si="346"/>
        <v>71.795447885447871</v>
      </c>
      <c r="AA708" s="40">
        <f>VLOOKUP(D708,[1]apoio_Preços_MGS!$A$6:$AN$238,32,FALSE)</f>
        <v>5.2881591122109777</v>
      </c>
      <c r="AB708" s="40">
        <f>VLOOKUP(D708,[1]apoio_Preços_MGS!$A$6:$AN$238,33,FALSE)</f>
        <v>201.79439560439556</v>
      </c>
      <c r="AC708" s="41">
        <f>VLOOKUP(D708,[1]apoio_Preços_MGS!$A$6:$AN$238,34,FALSE)</f>
        <v>3.2904213048597905E-2</v>
      </c>
      <c r="AD708" s="40">
        <f>(U708+W708+Z708+AB708+AA708+VLOOKUP(C708,[1]apoio_Prec_Folha!$A:$S,7,FALSE))*AC708</f>
        <v>192.00439352782072</v>
      </c>
      <c r="AE708" s="42">
        <f>VLOOKUP(D708,[1]apoio_Preços_MGS!$A$6:$AN$238,36,FALSE)</f>
        <v>7.0000000000000007E-2</v>
      </c>
      <c r="AF708" s="40">
        <f>(U708+W708+Z708+AB708+AD708+AA708+VLOOKUP(C708,[1]apoio_Prec_Folha!$A:$S,7,FALSE))*AE708</f>
        <v>421.9079869622484</v>
      </c>
      <c r="AG708" s="40">
        <f t="shared" si="347"/>
        <v>5900.01</v>
      </c>
      <c r="AH708" s="43">
        <f t="shared" si="348"/>
        <v>6880.47</v>
      </c>
      <c r="AI708" s="43">
        <f t="shared" si="349"/>
        <v>6880.47</v>
      </c>
      <c r="AJ708" s="43">
        <f t="shared" si="350"/>
        <v>412828.2</v>
      </c>
      <c r="AK708" s="44">
        <f>VLOOKUP(D708,[1]apoio_Preços_MGS!$A$6:$AN$238,39,FALSE)</f>
        <v>200.00000000000003</v>
      </c>
      <c r="AL708" s="44">
        <f>IF(J708="demais municípios",VLOOKUP(D708,[1]apoio_Preços_MGS!$A$6:$AN$238,39,FALSE),0)</f>
        <v>200.00000000000003</v>
      </c>
      <c r="AM708" s="44">
        <v>0</v>
      </c>
      <c r="AN708" s="45">
        <f t="shared" si="361"/>
        <v>200.00000000000003</v>
      </c>
      <c r="AO708" s="44">
        <f>VLOOKUP(D708,[1]apoio_Preços_MGS!$A$6:$AN$238,40,FALSE)</f>
        <v>549.14</v>
      </c>
      <c r="AP708" s="44">
        <f>IF(J708="demais municípios",VLOOKUP(D708,[1]apoio_Preços_MGS!$A$6:$AN$238,40,FALSE),0)</f>
        <v>549.14</v>
      </c>
      <c r="AQ708" s="44">
        <v>0</v>
      </c>
      <c r="AR708" s="45">
        <f t="shared" si="362"/>
        <v>549.14</v>
      </c>
      <c r="AS708" s="45">
        <f t="shared" si="333"/>
        <v>749.14</v>
      </c>
      <c r="AT708" s="45">
        <f t="shared" si="335"/>
        <v>44948.4</v>
      </c>
      <c r="AU708" s="62"/>
      <c r="AV708" s="46"/>
      <c r="AW708" s="47"/>
      <c r="AX708" s="48"/>
      <c r="AY708" s="49"/>
      <c r="BA708" s="48"/>
    </row>
    <row r="709" spans="1:53" ht="19.5" customHeight="1" x14ac:dyDescent="0.25">
      <c r="A709" s="33" t="str">
        <f t="shared" si="331"/>
        <v>106291440,05</v>
      </c>
      <c r="B709" s="33" t="str">
        <f t="shared" si="332"/>
        <v>1240,05</v>
      </c>
      <c r="C709" s="34" t="str">
        <f>VLOOKUP(D709,[1]apoio_Preços_MGS!$A$6:$B$238,2,FALSE)</f>
        <v>TRABALHADOR DA MANUTENÇÃO PREDIAL E INSTALAÇÕES</v>
      </c>
      <c r="D709" s="35">
        <v>124</v>
      </c>
      <c r="E709" s="33" t="str">
        <f>VLOOKUP(D709,[1]apoio_Preços_MGS!$A$6:$F$238,6,FALSE)</f>
        <v>TRABALHADOR DA MANUTENÇÃO PREDIAL E INSTALAÇÕES - DIARISTA DIURNO - 44H</v>
      </c>
      <c r="F709" s="36">
        <f>IFERROR(VLOOKUP(D709,'[1]apoio_cód catmas'!$B$2:$C$863,2,FALSE),0)</f>
        <v>106291</v>
      </c>
      <c r="G709" s="33" t="str">
        <f>IF(H709="N/A",VLOOKUP(F709&amp;40,'[1]apoio_cód catmas'!$A$1:$G$233,4,FALSE),VLOOKUP(F709&amp;H709,'[1]apoio_cód catmas'!$A$1:$G$233,4,FALSE))</f>
        <v>TRABALHADOR DA MANUTENCAO PREDIAL E INSTALACOES - 40H OU 44H</v>
      </c>
      <c r="H709" s="36">
        <v>44</v>
      </c>
      <c r="I709" s="37">
        <v>0.05</v>
      </c>
      <c r="J709" s="38" t="s">
        <v>47</v>
      </c>
      <c r="K709" s="39">
        <v>75</v>
      </c>
      <c r="L709" s="39">
        <f t="shared" si="334"/>
        <v>4500</v>
      </c>
      <c r="M709" s="40">
        <f>VLOOKUP(D709,[1]apoio_Preços_MGS!$A$6:$AN$238,18,FALSE)</f>
        <v>2754.2495376098846</v>
      </c>
      <c r="N709" s="40">
        <f>VLOOKUP(D709,[1]apoio_Preços_MGS!$A$6:$AN$238,19,FALSE)</f>
        <v>0</v>
      </c>
      <c r="O709" s="40">
        <f>VLOOKUP(D709,[1]apoio_Preços_MGS!$A$6:$AN$238,20,FALSE)</f>
        <v>0</v>
      </c>
      <c r="P709" s="40">
        <f>VLOOKUP(D709,[1]apoio_Preços_MGS!$A$6:$AN$238,21,FALSE)</f>
        <v>0</v>
      </c>
      <c r="Q709" s="40">
        <f>VLOOKUP(D709,[1]apoio_Preços_MGS!$A$6:$AN$238,22,FALSE)</f>
        <v>0</v>
      </c>
      <c r="R709" s="40">
        <f>VLOOKUP(D709,[1]apoio_Preços_MGS!$A$6:$AN$238,23,FALSE)</f>
        <v>0</v>
      </c>
      <c r="S709" s="40">
        <f>VLOOKUP(D709,[1]apoio_Preços_MGS!$A$6:$AN$238,24,FALSE)</f>
        <v>0</v>
      </c>
      <c r="T709" s="40">
        <f>VLOOKUP(D709,[1]apoio_Preços_MGS!$A$6:$AN$238,25,FALSE)</f>
        <v>0</v>
      </c>
      <c r="U709" s="40">
        <f t="shared" si="340"/>
        <v>2754.2495376098846</v>
      </c>
      <c r="V709" s="41">
        <v>0.81799999999999995</v>
      </c>
      <c r="W709" s="40">
        <f t="shared" si="341"/>
        <v>2252.9761217648856</v>
      </c>
      <c r="X709" s="40">
        <f>VLOOKUP(D709,[1]apoio_Preços_MGS!$A$6:$AN$238,29,FALSE)</f>
        <v>19.18</v>
      </c>
      <c r="Y709" s="40">
        <f>VLOOKUP(D709,[1]apoio_Preços_MGS!$A$6:$AN$238,30,FALSE)</f>
        <v>52.615447885447871</v>
      </c>
      <c r="Z709" s="40">
        <f t="shared" si="346"/>
        <v>71.795447885447871</v>
      </c>
      <c r="AA709" s="40">
        <f>VLOOKUP(D709,[1]apoio_Preços_MGS!$A$6:$AN$238,32,FALSE)</f>
        <v>5.2881591122109777</v>
      </c>
      <c r="AB709" s="40">
        <f>VLOOKUP(D709,[1]apoio_Preços_MGS!$A$6:$AN$238,33,FALSE)</f>
        <v>201.79439560439556</v>
      </c>
      <c r="AC709" s="41">
        <f>VLOOKUP(D709,[1]apoio_Preços_MGS!$A$6:$AN$238,34,FALSE)</f>
        <v>3.2904213048597905E-2</v>
      </c>
      <c r="AD709" s="40">
        <f>(U709+W709+Z709+AB709+AA709+VLOOKUP(C709,[1]apoio_Prec_Folha!$A:$S,7,FALSE))*AC709</f>
        <v>192.00439352782072</v>
      </c>
      <c r="AE709" s="42">
        <f>VLOOKUP(D709,[1]apoio_Preços_MGS!$A$6:$AN$238,36,FALSE)</f>
        <v>7.0000000000000007E-2</v>
      </c>
      <c r="AF709" s="40">
        <f>(U709+W709+Z709+AB709+AD709+AA709+VLOOKUP(C709,[1]apoio_Prec_Folha!$A:$S,7,FALSE))*AE709</f>
        <v>421.9079869622484</v>
      </c>
      <c r="AG709" s="40">
        <f t="shared" si="347"/>
        <v>5900.01</v>
      </c>
      <c r="AH709" s="43">
        <f t="shared" si="348"/>
        <v>6880.47</v>
      </c>
      <c r="AI709" s="43">
        <f t="shared" si="349"/>
        <v>516035.25</v>
      </c>
      <c r="AJ709" s="43">
        <f t="shared" si="350"/>
        <v>30962115</v>
      </c>
      <c r="AK709" s="44">
        <f>VLOOKUP(D709,[1]apoio_Preços_MGS!$A$6:$AN$238,39,FALSE)</f>
        <v>200.00000000000003</v>
      </c>
      <c r="AL709" s="44">
        <f>IF(J709="demais municípios",VLOOKUP(D709,[1]apoio_Preços_MGS!$A$6:$AN$238,39,FALSE),0)</f>
        <v>0</v>
      </c>
      <c r="AM709" s="44">
        <f>TRUNC(ROUND(($I709)/(1-($I709)),5)*VLOOKUP(D709,[1]apoio_Preços_MGS!$A$6:$AN$238,39,FALSE)+VLOOKUP(D709,[1]apoio_Preços_MGS!$A$6:$AN$238,39,FALSE),2)</f>
        <v>210.52</v>
      </c>
      <c r="AN709" s="45">
        <f t="shared" si="336"/>
        <v>15789</v>
      </c>
      <c r="AO709" s="44">
        <f>VLOOKUP(D709,[1]apoio_Preços_MGS!$A$6:$AN$238,40,FALSE)</f>
        <v>549.14</v>
      </c>
      <c r="AP709" s="44">
        <f>IF(J709="demais municípios",VLOOKUP(D709,[1]apoio_Preços_MGS!$A$6:$AN$238,40,FALSE),0)</f>
        <v>0</v>
      </c>
      <c r="AQ709" s="44">
        <f>TRUNC(ROUND(($I709)/(1-($I709)),5)*VLOOKUP(D709,[1]apoio_Preços_MGS!$A$6:$AN$238,40,FALSE)+VLOOKUP(D709,[1]apoio_Preços_MGS!$A$6:$AN$238,40,FALSE),2)</f>
        <v>578.04</v>
      </c>
      <c r="AR709" s="45">
        <f t="shared" si="337"/>
        <v>43353</v>
      </c>
      <c r="AS709" s="45">
        <f t="shared" si="333"/>
        <v>59142</v>
      </c>
      <c r="AT709" s="45">
        <f t="shared" si="335"/>
        <v>3548520</v>
      </c>
      <c r="AU709" s="62"/>
      <c r="AV709" s="46"/>
      <c r="AW709" s="47"/>
      <c r="AX709" s="48"/>
      <c r="AY709" s="49"/>
      <c r="BA709" s="48"/>
    </row>
    <row r="710" spans="1:53" ht="19.5" customHeight="1" x14ac:dyDescent="0.25">
      <c r="A710" s="33" t="str">
        <f t="shared" si="331"/>
        <v>105708440,02</v>
      </c>
      <c r="B710" s="33" t="str">
        <f t="shared" si="332"/>
        <v>12010,02</v>
      </c>
      <c r="C710" s="34" t="str">
        <f>VLOOKUP(D710,[1]apoio_Preços_MGS!$A$6:$B$238,2,FALSE)</f>
        <v>TRATADOR DE ANIMAIS</v>
      </c>
      <c r="D710" s="35">
        <v>1201</v>
      </c>
      <c r="E710" s="33" t="str">
        <f>VLOOKUP(D710,[1]apoio_Preços_MGS!$A$6:$F$238,6,FALSE)</f>
        <v>TRATADOR DE ANIMAIS - 12x36 DIURNO - 44H</v>
      </c>
      <c r="F710" s="36">
        <f>IFERROR(VLOOKUP(D710,'[1]apoio_cód catmas'!$B$2:$C$863,2,FALSE),0)</f>
        <v>105708</v>
      </c>
      <c r="G710" s="33" t="str">
        <f>IF(H710="N/A",VLOOKUP(F710&amp;40,'[1]apoio_cód catmas'!$A$1:$G$233,4,FALSE),VLOOKUP(F710&amp;H710,'[1]apoio_cód catmas'!$A$1:$G$233,4,FALSE))</f>
        <v>TRATADOR DE ANIMAIS - 12x36 - DIURNO - 44 H</v>
      </c>
      <c r="H710" s="36">
        <v>44</v>
      </c>
      <c r="I710" s="37">
        <v>0.02</v>
      </c>
      <c r="J710" s="38" t="s">
        <v>46</v>
      </c>
      <c r="K710" s="39">
        <f>5-2</f>
        <v>3</v>
      </c>
      <c r="L710" s="39">
        <f t="shared" si="334"/>
        <v>180</v>
      </c>
      <c r="M710" s="40">
        <f>VLOOKUP(D710,[1]apoio_Preços_MGS!$A$6:$AN$238,18,FALSE)</f>
        <v>2570.5184999999997</v>
      </c>
      <c r="N710" s="40">
        <f>VLOOKUP(D710,[1]apoio_Preços_MGS!$A$6:$AN$238,19,FALSE)</f>
        <v>0</v>
      </c>
      <c r="O710" s="40">
        <f>VLOOKUP(D710,[1]apoio_Preços_MGS!$A$6:$AN$238,20,FALSE)</f>
        <v>0</v>
      </c>
      <c r="P710" s="40">
        <f>VLOOKUP(D710,[1]apoio_Preços_MGS!$A$6:$AN$238,21,FALSE)</f>
        <v>0</v>
      </c>
      <c r="Q710" s="40">
        <f>VLOOKUP(D710,[1]apoio_Preços_MGS!$A$6:$AN$238,22,FALSE)</f>
        <v>0</v>
      </c>
      <c r="R710" s="40">
        <f>VLOOKUP(D710,[1]apoio_Preços_MGS!$A$6:$AN$238,23,FALSE)</f>
        <v>0</v>
      </c>
      <c r="S710" s="40">
        <f>VLOOKUP(D710,[1]apoio_Preços_MGS!$A$6:$AN$238,24,FALSE)</f>
        <v>0</v>
      </c>
      <c r="T710" s="40">
        <f>VLOOKUP(D710,[1]apoio_Preços_MGS!$A$6:$AN$238,25,FALSE)</f>
        <v>3.5701645833333333</v>
      </c>
      <c r="U710" s="40">
        <f t="shared" si="340"/>
        <v>2574.088664583333</v>
      </c>
      <c r="V710" s="41">
        <v>0.81799999999999995</v>
      </c>
      <c r="W710" s="40">
        <f t="shared" si="341"/>
        <v>2105.6045276291661</v>
      </c>
      <c r="X710" s="40">
        <f>VLOOKUP(D710,[1]apoio_Preços_MGS!$A$6:$AN$238,29,FALSE)</f>
        <v>11.378181818181817</v>
      </c>
      <c r="Y710" s="40">
        <f>VLOOKUP(D710,[1]apoio_Preços_MGS!$A$6:$AN$238,30,FALSE)</f>
        <v>77.229090909090914</v>
      </c>
      <c r="Z710" s="40">
        <f t="shared" si="346"/>
        <v>88.607272727272729</v>
      </c>
      <c r="AA710" s="40">
        <f>VLOOKUP(D710,[1]apoio_Preços_MGS!$A$6:$AN$238,32,FALSE)</f>
        <v>4.9353955199999993</v>
      </c>
      <c r="AB710" s="40">
        <f>VLOOKUP(D710,[1]apoio_Preços_MGS!$A$6:$AN$238,33,FALSE)</f>
        <v>61.509600000000006</v>
      </c>
      <c r="AC710" s="41">
        <f>VLOOKUP(D710,[1]apoio_Preços_MGS!$A$6:$AN$238,34,FALSE)</f>
        <v>0</v>
      </c>
      <c r="AD710" s="40">
        <f>(U710+W710+Z710+AB710+AA710+VLOOKUP(C710,[1]apoio_Prec_Folha!$A:$S,7,FALSE))*AC710</f>
        <v>0</v>
      </c>
      <c r="AE710" s="42">
        <f>VLOOKUP(D710,[1]apoio_Preços_MGS!$A$6:$AN$238,36,FALSE)</f>
        <v>7.0000000000000007E-2</v>
      </c>
      <c r="AF710" s="40">
        <f>(U710+W710+Z710+AB710+AD710+AA710+VLOOKUP(C710,[1]apoio_Prec_Folha!$A:$S,7,FALSE))*AE710</f>
        <v>377.04278223218409</v>
      </c>
      <c r="AG710" s="40">
        <f t="shared" si="347"/>
        <v>5211.78</v>
      </c>
      <c r="AH710" s="43">
        <f t="shared" si="348"/>
        <v>5872.42</v>
      </c>
      <c r="AI710" s="43">
        <f t="shared" si="349"/>
        <v>17617.260000000002</v>
      </c>
      <c r="AJ710" s="43">
        <f t="shared" si="350"/>
        <v>1057035.6000000001</v>
      </c>
      <c r="AK710" s="44">
        <f>VLOOKUP(D710,[1]apoio_Preços_MGS!$A$6:$AN$238,39,FALSE)</f>
        <v>200.00000000000003</v>
      </c>
      <c r="AL710" s="44">
        <f>IF(J710="demais municípios",VLOOKUP(D710,[1]apoio_Preços_MGS!$A$6:$AN$238,39,FALSE),0)</f>
        <v>200.00000000000003</v>
      </c>
      <c r="AM710" s="44">
        <v>0</v>
      </c>
      <c r="AN710" s="45">
        <f t="shared" ref="AN710:AN718" si="363">AK710*K710</f>
        <v>600.00000000000011</v>
      </c>
      <c r="AO710" s="44">
        <f>VLOOKUP(D710,[1]apoio_Preços_MGS!$A$6:$AN$238,40,FALSE)</f>
        <v>551.58000000000004</v>
      </c>
      <c r="AP710" s="44">
        <f>IF(J710="demais municípios",VLOOKUP(D710,[1]apoio_Preços_MGS!$A$6:$AN$238,40,FALSE),0)</f>
        <v>551.58000000000004</v>
      </c>
      <c r="AQ710" s="44">
        <v>0</v>
      </c>
      <c r="AR710" s="45">
        <f t="shared" ref="AR710:AR718" si="364">AO710*K710</f>
        <v>1654.7400000000002</v>
      </c>
      <c r="AS710" s="45">
        <f t="shared" si="333"/>
        <v>2254.7400000000002</v>
      </c>
      <c r="AT710" s="45">
        <f t="shared" si="335"/>
        <v>135284.40000000002</v>
      </c>
      <c r="AU710" s="62"/>
      <c r="AV710" s="46"/>
      <c r="AW710" s="47"/>
      <c r="AX710" s="48"/>
      <c r="AY710" s="49"/>
      <c r="BA710" s="48"/>
    </row>
    <row r="711" spans="1:53" ht="19.5" customHeight="1" x14ac:dyDescent="0.25">
      <c r="A711" s="33" t="str">
        <f t="shared" si="331"/>
        <v>105708440,05</v>
      </c>
      <c r="B711" s="33" t="str">
        <f t="shared" si="332"/>
        <v>12010,05</v>
      </c>
      <c r="C711" s="34" t="str">
        <f>VLOOKUP(D711,[1]apoio_Preços_MGS!$A$6:$B$238,2,FALSE)</f>
        <v>TRATADOR DE ANIMAIS</v>
      </c>
      <c r="D711" s="35">
        <v>1201</v>
      </c>
      <c r="E711" s="33" t="str">
        <f>VLOOKUP(D711,[1]apoio_Preços_MGS!$A$6:$F$238,6,FALSE)</f>
        <v>TRATADOR DE ANIMAIS - 12x36 DIURNO - 44H</v>
      </c>
      <c r="F711" s="36">
        <f>IFERROR(VLOOKUP(D711,'[1]apoio_cód catmas'!$B$2:$C$863,2,FALSE),0)</f>
        <v>105708</v>
      </c>
      <c r="G711" s="33" t="str">
        <f>IF(H711="N/A",VLOOKUP(F711&amp;40,'[1]apoio_cód catmas'!$A$1:$G$233,4,FALSE),VLOOKUP(F711&amp;H711,'[1]apoio_cód catmas'!$A$1:$G$233,4,FALSE))</f>
        <v>TRATADOR DE ANIMAIS - 12x36 - DIURNO - 44 H</v>
      </c>
      <c r="H711" s="36">
        <v>44</v>
      </c>
      <c r="I711" s="37">
        <v>0.05</v>
      </c>
      <c r="J711" s="38" t="s">
        <v>46</v>
      </c>
      <c r="K711" s="39">
        <v>2</v>
      </c>
      <c r="L711" s="39">
        <f>K711*56</f>
        <v>112</v>
      </c>
      <c r="M711" s="40">
        <f>VLOOKUP(D711,[1]apoio_Preços_MGS!$A$6:$AN$238,18,FALSE)</f>
        <v>2570.5184999999997</v>
      </c>
      <c r="N711" s="40">
        <f>VLOOKUP(D711,[1]apoio_Preços_MGS!$A$6:$AN$238,19,FALSE)</f>
        <v>0</v>
      </c>
      <c r="O711" s="40">
        <f>VLOOKUP(D711,[1]apoio_Preços_MGS!$A$6:$AN$238,20,FALSE)</f>
        <v>0</v>
      </c>
      <c r="P711" s="40">
        <f>VLOOKUP(D711,[1]apoio_Preços_MGS!$A$6:$AN$238,21,FALSE)</f>
        <v>0</v>
      </c>
      <c r="Q711" s="40">
        <f>VLOOKUP(D711,[1]apoio_Preços_MGS!$A$6:$AN$238,22,FALSE)</f>
        <v>0</v>
      </c>
      <c r="R711" s="40">
        <f>VLOOKUP(D711,[1]apoio_Preços_MGS!$A$6:$AN$238,23,FALSE)</f>
        <v>0</v>
      </c>
      <c r="S711" s="40">
        <f>VLOOKUP(D711,[1]apoio_Preços_MGS!$A$6:$AN$238,24,FALSE)</f>
        <v>0</v>
      </c>
      <c r="T711" s="40">
        <f>VLOOKUP(D711,[1]apoio_Preços_MGS!$A$6:$AN$238,25,FALSE)</f>
        <v>3.5701645833333333</v>
      </c>
      <c r="U711" s="40">
        <f t="shared" si="340"/>
        <v>2574.088664583333</v>
      </c>
      <c r="V711" s="41">
        <v>0.81799999999999995</v>
      </c>
      <c r="W711" s="40">
        <f t="shared" si="341"/>
        <v>2105.6045276291661</v>
      </c>
      <c r="X711" s="40">
        <f>VLOOKUP(D711,[1]apoio_Preços_MGS!$A$6:$AN$238,29,FALSE)</f>
        <v>11.378181818181817</v>
      </c>
      <c r="Y711" s="40">
        <f>VLOOKUP(D711,[1]apoio_Preços_MGS!$A$6:$AN$238,30,FALSE)</f>
        <v>77.229090909090914</v>
      </c>
      <c r="Z711" s="40">
        <f t="shared" si="346"/>
        <v>88.607272727272729</v>
      </c>
      <c r="AA711" s="40">
        <f>VLOOKUP(D711,[1]apoio_Preços_MGS!$A$6:$AN$238,32,FALSE)</f>
        <v>4.9353955199999993</v>
      </c>
      <c r="AB711" s="40">
        <f>VLOOKUP(D711,[1]apoio_Preços_MGS!$A$6:$AN$238,33,FALSE)</f>
        <v>61.509600000000006</v>
      </c>
      <c r="AC711" s="41">
        <f>VLOOKUP(D711,[1]apoio_Preços_MGS!$A$6:$AN$238,34,FALSE)</f>
        <v>0</v>
      </c>
      <c r="AD711" s="40">
        <f>(U711+W711+Z711+AB711+AA711+VLOOKUP(C711,[1]apoio_Prec_Folha!$A:$S,7,FALSE))*AC711</f>
        <v>0</v>
      </c>
      <c r="AE711" s="42">
        <f>VLOOKUP(D711,[1]apoio_Preços_MGS!$A$6:$AN$238,36,FALSE)</f>
        <v>7.0000000000000007E-2</v>
      </c>
      <c r="AF711" s="40">
        <f>(U711+W711+Z711+AB711+AD711+AA711+VLOOKUP(C711,[1]apoio_Prec_Folha!$A:$S,7,FALSE))*AE711</f>
        <v>377.04278223218409</v>
      </c>
      <c r="AG711" s="40">
        <f t="shared" si="347"/>
        <v>5211.78</v>
      </c>
      <c r="AH711" s="43">
        <f t="shared" si="348"/>
        <v>6077.87</v>
      </c>
      <c r="AI711" s="43">
        <f t="shared" si="349"/>
        <v>12155.74</v>
      </c>
      <c r="AJ711" s="43">
        <f t="shared" si="350"/>
        <v>680721.44</v>
      </c>
      <c r="AK711" s="44">
        <f>VLOOKUP(D711,[1]apoio_Preços_MGS!$A$6:$AN$238,39,FALSE)</f>
        <v>200.00000000000003</v>
      </c>
      <c r="AL711" s="44">
        <f>IF(J711="demais municípios",VLOOKUP(D711,[1]apoio_Preços_MGS!$A$6:$AN$238,39,FALSE),0)</f>
        <v>200.00000000000003</v>
      </c>
      <c r="AM711" s="44">
        <v>0</v>
      </c>
      <c r="AN711" s="45">
        <f t="shared" si="363"/>
        <v>400.00000000000006</v>
      </c>
      <c r="AO711" s="44">
        <f>VLOOKUP(D711,[1]apoio_Preços_MGS!$A$6:$AN$238,40,FALSE)</f>
        <v>551.58000000000004</v>
      </c>
      <c r="AP711" s="44">
        <f>IF(J711="demais municípios",VLOOKUP(D711,[1]apoio_Preços_MGS!$A$6:$AN$238,40,FALSE),0)</f>
        <v>551.58000000000004</v>
      </c>
      <c r="AQ711" s="44">
        <v>0</v>
      </c>
      <c r="AR711" s="45">
        <f t="shared" si="364"/>
        <v>1103.1600000000001</v>
      </c>
      <c r="AS711" s="45">
        <f t="shared" si="333"/>
        <v>1503.16</v>
      </c>
      <c r="AT711" s="45">
        <f t="shared" si="335"/>
        <v>90189.6</v>
      </c>
      <c r="AU711" s="62"/>
      <c r="AV711" s="46"/>
      <c r="AW711" s="47"/>
      <c r="AX711" s="48"/>
      <c r="AY711" s="49"/>
      <c r="BA711" s="48"/>
    </row>
    <row r="712" spans="1:53" ht="19.5" customHeight="1" x14ac:dyDescent="0.25">
      <c r="A712" s="33" t="str">
        <f t="shared" si="331"/>
        <v>133647440,038</v>
      </c>
      <c r="B712" s="33" t="str">
        <f t="shared" si="332"/>
        <v>15330,038</v>
      </c>
      <c r="C712" s="34" t="str">
        <f>VLOOKUP(D712,[1]apoio_Preços_MGS!$A$6:$B$238,2,FALSE)</f>
        <v>TRATADOR DE ANIMAIS</v>
      </c>
      <c r="D712" s="35">
        <v>1533</v>
      </c>
      <c r="E712" s="33" t="str">
        <f>VLOOKUP(D712,[1]apoio_Preços_MGS!$A$6:$F$238,6,FALSE)</f>
        <v>TRATADOR DE ANIMAIS - DIARISTA DIURNO - 44H</v>
      </c>
      <c r="F712" s="36">
        <f>IFERROR(VLOOKUP(D712,'[1]apoio_cód catmas'!$B$2:$C$863,2,FALSE),0)</f>
        <v>133647</v>
      </c>
      <c r="G712" s="33" t="str">
        <f>IF(H712="N/A",VLOOKUP(F712&amp;40,'[1]apoio_cód catmas'!$A$1:$G$233,4,FALSE),VLOOKUP(F712&amp;H712,'[1]apoio_cód catmas'!$A$1:$G$233,4,FALSE))</f>
        <v>TRATADOR DE ANIMAIS - DIARISTA DIURNO - 40 OU 44H</v>
      </c>
      <c r="H712" s="36">
        <v>44</v>
      </c>
      <c r="I712" s="37">
        <v>3.7999999999999999E-2</v>
      </c>
      <c r="J712" s="38" t="s">
        <v>46</v>
      </c>
      <c r="K712" s="39">
        <v>1</v>
      </c>
      <c r="L712" s="39">
        <f t="shared" si="334"/>
        <v>60</v>
      </c>
      <c r="M712" s="40">
        <f>VLOOKUP(D712,[1]apoio_Preços_MGS!$A$6:$AN$238,18,FALSE)</f>
        <v>2570.5184999999997</v>
      </c>
      <c r="N712" s="40">
        <f>VLOOKUP(D712,[1]apoio_Preços_MGS!$A$6:$AN$238,19,FALSE)</f>
        <v>0</v>
      </c>
      <c r="O712" s="40">
        <f>VLOOKUP(D712,[1]apoio_Preços_MGS!$A$6:$AN$238,20,FALSE)</f>
        <v>0</v>
      </c>
      <c r="P712" s="40">
        <f>VLOOKUP(D712,[1]apoio_Preços_MGS!$A$6:$AN$238,21,FALSE)</f>
        <v>0</v>
      </c>
      <c r="Q712" s="40">
        <f>VLOOKUP(D712,[1]apoio_Preços_MGS!$A$6:$AN$238,22,FALSE)</f>
        <v>0</v>
      </c>
      <c r="R712" s="40">
        <f>VLOOKUP(D712,[1]apoio_Preços_MGS!$A$6:$AN$238,23,FALSE)</f>
        <v>0</v>
      </c>
      <c r="S712" s="40">
        <f>VLOOKUP(D712,[1]apoio_Preços_MGS!$A$6:$AN$238,24,FALSE)</f>
        <v>0</v>
      </c>
      <c r="T712" s="40">
        <f>VLOOKUP(D712,[1]apoio_Preços_MGS!$A$6:$AN$238,25,FALSE)</f>
        <v>0</v>
      </c>
      <c r="U712" s="40">
        <f t="shared" si="340"/>
        <v>2570.5184999999997</v>
      </c>
      <c r="V712" s="41">
        <v>0.81799999999999995</v>
      </c>
      <c r="W712" s="40">
        <f t="shared" si="341"/>
        <v>2102.6841329999997</v>
      </c>
      <c r="X712" s="40">
        <f>VLOOKUP(D712,[1]apoio_Preços_MGS!$A$6:$AN$238,29,FALSE)</f>
        <v>11.378181818181817</v>
      </c>
      <c r="Y712" s="40">
        <f>VLOOKUP(D712,[1]apoio_Preços_MGS!$A$6:$AN$238,30,FALSE)</f>
        <v>77.229090909090914</v>
      </c>
      <c r="Z712" s="40">
        <f t="shared" si="346"/>
        <v>88.607272727272729</v>
      </c>
      <c r="AA712" s="40">
        <f>VLOOKUP(D712,[1]apoio_Preços_MGS!$A$6:$AN$238,32,FALSE)</f>
        <v>4.9353955199999993</v>
      </c>
      <c r="AB712" s="40">
        <f>VLOOKUP(D712,[1]apoio_Preços_MGS!$A$6:$AN$238,33,FALSE)</f>
        <v>61.509600000000006</v>
      </c>
      <c r="AC712" s="41">
        <f>VLOOKUP(D712,[1]apoio_Preços_MGS!$A$6:$AN$238,34,FALSE)</f>
        <v>0</v>
      </c>
      <c r="AD712" s="40">
        <f>(U712+W712+Z712+AB712+AA712+VLOOKUP(C712,[1]apoio_Prec_Folha!$A:$S,7,FALSE))*AC712</f>
        <v>0</v>
      </c>
      <c r="AE712" s="42">
        <f>VLOOKUP(D712,[1]apoio_Preços_MGS!$A$6:$AN$238,36,FALSE)</f>
        <v>7.0000000000000007E-2</v>
      </c>
      <c r="AF712" s="40">
        <f>(U712+W712+Z712+AB712+AD712+AA712+VLOOKUP(C712,[1]apoio_Prec_Folha!$A:$S,7,FALSE))*AE712</f>
        <v>376.58844308730914</v>
      </c>
      <c r="AG712" s="40">
        <f t="shared" si="347"/>
        <v>5204.84</v>
      </c>
      <c r="AH712" s="43">
        <f t="shared" si="348"/>
        <v>5986.03</v>
      </c>
      <c r="AI712" s="43">
        <f t="shared" si="349"/>
        <v>5986.03</v>
      </c>
      <c r="AJ712" s="43">
        <f t="shared" si="350"/>
        <v>359161.8</v>
      </c>
      <c r="AK712" s="44">
        <f>VLOOKUP(D712,[1]apoio_Preços_MGS!$A$6:$AN$238,39,FALSE)</f>
        <v>200.00000000000003</v>
      </c>
      <c r="AL712" s="44">
        <f>IF(J712="demais municípios",VLOOKUP(D712,[1]apoio_Preços_MGS!$A$6:$AN$238,39,FALSE),0)</f>
        <v>200.00000000000003</v>
      </c>
      <c r="AM712" s="44">
        <v>0</v>
      </c>
      <c r="AN712" s="45">
        <f t="shared" si="363"/>
        <v>200.00000000000003</v>
      </c>
      <c r="AO712" s="44">
        <f>VLOOKUP(D712,[1]apoio_Preços_MGS!$A$6:$AN$238,40,FALSE)</f>
        <v>551.58000000000004</v>
      </c>
      <c r="AP712" s="44">
        <f>IF(J712="demais municípios",VLOOKUP(D712,[1]apoio_Preços_MGS!$A$6:$AN$238,40,FALSE),0)</f>
        <v>551.58000000000004</v>
      </c>
      <c r="AQ712" s="44">
        <v>0</v>
      </c>
      <c r="AR712" s="45">
        <f t="shared" si="364"/>
        <v>551.58000000000004</v>
      </c>
      <c r="AS712" s="45">
        <f t="shared" si="333"/>
        <v>751.58</v>
      </c>
      <c r="AT712" s="45">
        <f t="shared" si="335"/>
        <v>45094.8</v>
      </c>
      <c r="AU712" s="62"/>
      <c r="AV712" s="46"/>
      <c r="AW712" s="47"/>
      <c r="AX712" s="48"/>
      <c r="AY712" s="49"/>
      <c r="BA712" s="48"/>
    </row>
    <row r="713" spans="1:53" ht="19.5" customHeight="1" x14ac:dyDescent="0.25">
      <c r="A713" s="33" t="str">
        <f t="shared" si="331"/>
        <v>133647400,038</v>
      </c>
      <c r="B713" s="33" t="str">
        <f t="shared" si="332"/>
        <v>19110,038</v>
      </c>
      <c r="C713" s="34" t="str">
        <f>VLOOKUP(D713,[1]apoio_Preços_MGS!$A$6:$B$238,2,FALSE)</f>
        <v>TRATADOR DE ANIMAIS</v>
      </c>
      <c r="D713" s="35">
        <v>1911</v>
      </c>
      <c r="E713" s="33" t="str">
        <f>VLOOKUP(D713,[1]apoio_Preços_MGS!$A$6:$F$238,6,FALSE)</f>
        <v>TRATADOR DE ANIMAIS - DIARISTA DIURNO - 40H</v>
      </c>
      <c r="F713" s="36">
        <f>IFERROR(VLOOKUP(D713,'[1]apoio_cód catmas'!$B$2:$C$863,2,FALSE),0)</f>
        <v>133647</v>
      </c>
      <c r="G713" s="33" t="str">
        <f>IF(H713="N/A",VLOOKUP(F713&amp;40,'[1]apoio_cód catmas'!$A$1:$G$233,4,FALSE),VLOOKUP(F713&amp;H713,'[1]apoio_cód catmas'!$A$1:$G$233,4,FALSE))</f>
        <v>TRATADOR DE ANIMAIS - DIARISTA DIURNO - 40 OU 44H</v>
      </c>
      <c r="H713" s="36">
        <v>40</v>
      </c>
      <c r="I713" s="37">
        <v>3.7999999999999999E-2</v>
      </c>
      <c r="J713" s="38" t="s">
        <v>46</v>
      </c>
      <c r="K713" s="39">
        <v>1</v>
      </c>
      <c r="L713" s="39">
        <f>K713*60</f>
        <v>60</v>
      </c>
      <c r="M713" s="40">
        <f>VLOOKUP(D713,[1]apoio_Preços_MGS!$A$6:$AN$238,18,FALSE)</f>
        <v>2336.8349999999996</v>
      </c>
      <c r="N713" s="40">
        <f>VLOOKUP(D713,[1]apoio_Preços_MGS!$A$6:$AN$238,19,FALSE)</f>
        <v>0</v>
      </c>
      <c r="O713" s="40">
        <f>VLOOKUP(D713,[1]apoio_Preços_MGS!$A$6:$AN$238,20,FALSE)</f>
        <v>0</v>
      </c>
      <c r="P713" s="40">
        <f>VLOOKUP(D713,[1]apoio_Preços_MGS!$A$6:$AN$238,21,FALSE)</f>
        <v>0</v>
      </c>
      <c r="Q713" s="40">
        <f>VLOOKUP(D713,[1]apoio_Preços_MGS!$A$6:$AN$238,22,FALSE)</f>
        <v>0</v>
      </c>
      <c r="R713" s="40">
        <f>VLOOKUP(D713,[1]apoio_Preços_MGS!$A$6:$AN$238,23,FALSE)</f>
        <v>0</v>
      </c>
      <c r="S713" s="40">
        <f>VLOOKUP(D713,[1]apoio_Preços_MGS!$A$6:$AN$238,24,FALSE)</f>
        <v>0</v>
      </c>
      <c r="T713" s="40">
        <f>VLOOKUP(D713,[1]apoio_Preços_MGS!$A$6:$AN$238,25,FALSE)</f>
        <v>0</v>
      </c>
      <c r="U713" s="40">
        <f>SUM(M713:T713)</f>
        <v>2336.8349999999996</v>
      </c>
      <c r="V713" s="41">
        <f>VLOOKUP(D713,[1]apoio_Preços_MGS!$A$6:$AN$238,27,FALSE)</f>
        <v>0.81799999999999995</v>
      </c>
      <c r="W713" s="40">
        <f>U713*V713</f>
        <v>1911.5310299999996</v>
      </c>
      <c r="X713" s="40">
        <f>VLOOKUP(D713,[1]apoio_Preços_MGS!$A$6:$AN$238,29,FALSE)</f>
        <v>11.378181818181817</v>
      </c>
      <c r="Y713" s="40">
        <f>VLOOKUP(D713,[1]apoio_Preços_MGS!$A$6:$AN$238,30,FALSE)</f>
        <v>77.229090909090914</v>
      </c>
      <c r="Z713" s="40">
        <f>Y713+X713</f>
        <v>88.607272727272729</v>
      </c>
      <c r="AA713" s="40">
        <f>VLOOKUP(D713,[1]apoio_Preços_MGS!$A$6:$AN$238,32,FALSE)</f>
        <v>4.4867231999999992</v>
      </c>
      <c r="AB713" s="40">
        <f>VLOOKUP(D713,[1]apoio_Preços_MGS!$A$6:$AN$238,33,FALSE)</f>
        <v>69.138145454545466</v>
      </c>
      <c r="AC713" s="41">
        <f>VLOOKUP(D713,[1]apoio_Preços_MGS!$A$6:$AN$238,34,FALSE)</f>
        <v>0</v>
      </c>
      <c r="AD713" s="40">
        <f>(U713+W713+Z713+AB713+AA713+VLOOKUP(C713,[1]apoio_Prec_Folha!$A:$S,7,FALSE))*AC713</f>
        <v>0</v>
      </c>
      <c r="AE713" s="42">
        <f>VLOOKUP(D713,[1]apoio_Preços_MGS!$A$6:$AN$238,36,FALSE)</f>
        <v>7.0000000000000007E-2</v>
      </c>
      <c r="AF713" s="40">
        <f>(U713+W713+Z713+AB713+AD713+AA713+VLOOKUP(C713,[1]apoio_Prec_Folha!$A:$S,7,FALSE))*AE713</f>
        <v>347.35247199672722</v>
      </c>
      <c r="AG713" s="40">
        <f>TRUNC(U713+W713+Z713+AB713+AA713+AD713+AF713,2)</f>
        <v>4757.95</v>
      </c>
      <c r="AH713" s="43">
        <f>TRUNC($AG713*ROUND((7.6%+1.65%+$I713)/(1-(7.6%+1.65%+$I713)),5)+$AG713,2)</f>
        <v>5472.07</v>
      </c>
      <c r="AI713" s="43">
        <f>AH713*K713</f>
        <v>5472.07</v>
      </c>
      <c r="AJ713" s="43">
        <f>AH713*L713</f>
        <v>328324.19999999995</v>
      </c>
      <c r="AK713" s="44">
        <f>VLOOKUP(D713,[1]apoio_Preços_MGS!$A$6:$AN$238,39,FALSE)</f>
        <v>181.81818181818184</v>
      </c>
      <c r="AL713" s="44">
        <f>IF(J713="demais municípios",VLOOKUP(D713,[1]apoio_Preços_MGS!$A$6:$AN$238,39,FALSE),0)</f>
        <v>181.81818181818184</v>
      </c>
      <c r="AM713" s="44">
        <v>0</v>
      </c>
      <c r="AN713" s="45">
        <f t="shared" si="363"/>
        <v>181.81818181818184</v>
      </c>
      <c r="AO713" s="44">
        <f>VLOOKUP(D713,[1]apoio_Preços_MGS!$A$6:$AN$238,40,FALSE)</f>
        <v>551.58000000000004</v>
      </c>
      <c r="AP713" s="44">
        <f>IF(J713="demais municípios",VLOOKUP(D713,[1]apoio_Preços_MGS!$A$6:$AN$238,40,FALSE),0)</f>
        <v>551.58000000000004</v>
      </c>
      <c r="AQ713" s="44">
        <v>0</v>
      </c>
      <c r="AR713" s="45">
        <f t="shared" si="364"/>
        <v>551.58000000000004</v>
      </c>
      <c r="AS713" s="45">
        <f t="shared" si="333"/>
        <v>733.39818181818191</v>
      </c>
      <c r="AT713" s="45">
        <f t="shared" si="335"/>
        <v>44003.890909090915</v>
      </c>
      <c r="AU713" s="62"/>
      <c r="AV713" s="46"/>
      <c r="AW713" s="47"/>
      <c r="AX713" s="48"/>
      <c r="AY713" s="49"/>
      <c r="BA713" s="48"/>
    </row>
    <row r="714" spans="1:53" ht="19.5" customHeight="1" x14ac:dyDescent="0.25">
      <c r="A714" s="33" t="str">
        <f t="shared" si="331"/>
        <v>63533440,02</v>
      </c>
      <c r="B714" s="33" t="str">
        <f t="shared" si="332"/>
        <v>1810,02</v>
      </c>
      <c r="C714" s="34" t="str">
        <f>VLOOKUP(D714,[1]apoio_Preços_MGS!$A$6:$B$238,2,FALSE)</f>
        <v>VIGIA DE PARQUE</v>
      </c>
      <c r="D714" s="35">
        <v>181</v>
      </c>
      <c r="E714" s="33" t="str">
        <f>VLOOKUP(D714,[1]apoio_Preços_MGS!$A$6:$F$238,6,FALSE)</f>
        <v>VIGIA DE PARQUE - (PERIC.) - 12x36 DIURNO - 44H</v>
      </c>
      <c r="F714" s="36">
        <f>IFERROR(VLOOKUP(D714,'[1]apoio_cód catmas'!$B$2:$C$863,2,FALSE),0)</f>
        <v>63533</v>
      </c>
      <c r="G714" s="33" t="str">
        <f>IF(H714="N/A",VLOOKUP(F714&amp;40,'[1]apoio_cód catmas'!$A$1:$G$233,4,FALSE),VLOOKUP(F714&amp;H714,'[1]apoio_cód catmas'!$A$1:$G$233,4,FALSE))</f>
        <v>VIGIA DE PARQUE - 12X36 DIURNO (PERICULOSIDADE) - 44H</v>
      </c>
      <c r="H714" s="36">
        <v>44</v>
      </c>
      <c r="I714" s="37">
        <v>0.02</v>
      </c>
      <c r="J714" s="38" t="s">
        <v>46</v>
      </c>
      <c r="K714" s="39">
        <v>1</v>
      </c>
      <c r="L714" s="39">
        <f t="shared" si="334"/>
        <v>60</v>
      </c>
      <c r="M714" s="40">
        <f>VLOOKUP(D714,[1]apoio_Preços_MGS!$A$6:$AN$238,18,FALSE)</f>
        <v>2575.3514736842117</v>
      </c>
      <c r="N714" s="40">
        <f>VLOOKUP(D714,[1]apoio_Preços_MGS!$A$6:$AN$238,19,FALSE)</f>
        <v>772.60544210526348</v>
      </c>
      <c r="O714" s="40">
        <f>VLOOKUP(D714,[1]apoio_Preços_MGS!$A$6:$AN$238,20,FALSE)</f>
        <v>0</v>
      </c>
      <c r="P714" s="40">
        <f>VLOOKUP(D714,[1]apoio_Preços_MGS!$A$6:$AN$238,21,FALSE)</f>
        <v>0</v>
      </c>
      <c r="Q714" s="40">
        <f>VLOOKUP(D714,[1]apoio_Preços_MGS!$A$6:$AN$238,22,FALSE)</f>
        <v>0</v>
      </c>
      <c r="R714" s="40">
        <f>VLOOKUP(D714,[1]apoio_Preços_MGS!$A$6:$AN$238,23,FALSE)</f>
        <v>0</v>
      </c>
      <c r="S714" s="40">
        <f>VLOOKUP(D714,[1]apoio_Preços_MGS!$A$6:$AN$238,24,FALSE)</f>
        <v>0</v>
      </c>
      <c r="T714" s="40">
        <f>VLOOKUP(D714,[1]apoio_Preços_MGS!$A$6:$AN$238,25,FALSE)</f>
        <v>4.6499401608187156</v>
      </c>
      <c r="U714" s="40">
        <f>SUM(M714:T714)</f>
        <v>3352.6068559502942</v>
      </c>
      <c r="V714" s="41">
        <f>VLOOKUP(D714,[1]apoio_Preços_MGS!$A$6:$AN$238,27,FALSE)</f>
        <v>0.81799999999999995</v>
      </c>
      <c r="W714" s="40">
        <f>U714*V714</f>
        <v>2742.4324081673403</v>
      </c>
      <c r="X714" s="40">
        <f>VLOOKUP(D714,[1]apoio_Preços_MGS!$A$6:$AN$238,29,FALSE)</f>
        <v>27.513333333333332</v>
      </c>
      <c r="Y714" s="40">
        <f>VLOOKUP(D714,[1]apoio_Preços_MGS!$A$6:$AN$238,30,FALSE)</f>
        <v>51.851515151515152</v>
      </c>
      <c r="Z714" s="40">
        <f t="shared" si="346"/>
        <v>79.36484848484848</v>
      </c>
      <c r="AA714" s="40">
        <f>VLOOKUP(D714,[1]apoio_Preços_MGS!$A$6:$AN$238,32,FALSE)</f>
        <v>4.9446748294736862</v>
      </c>
      <c r="AB714" s="40">
        <f>VLOOKUP(D714,[1]apoio_Preços_MGS!$A$6:$AN$238,33,FALSE)</f>
        <v>149.87399999999997</v>
      </c>
      <c r="AC714" s="41">
        <f>VLOOKUP(D714,[1]apoio_Preços_MGS!$A$6:$AN$238,34,FALSE)</f>
        <v>3.9158639165422469E-2</v>
      </c>
      <c r="AD714" s="40">
        <f>(U714+W714+Z714+AB714+AA714+VLOOKUP(C714,[1]apoio_Prec_Folha!$A:$S,7,FALSE))*AC714</f>
        <v>269.44287352148115</v>
      </c>
      <c r="AE714" s="42">
        <f>VLOOKUP(D714,[1]apoio_Preços_MGS!$A$6:$AN$238,36,FALSE)</f>
        <v>7.0000000000000007E-2</v>
      </c>
      <c r="AF714" s="40">
        <f>(U714+W714+Z714+AB714+AD714+AA714+VLOOKUP(C714,[1]apoio_Prec_Folha!$A:$S,7,FALSE))*AE714</f>
        <v>500.51719626674071</v>
      </c>
      <c r="AG714" s="40">
        <f t="shared" si="347"/>
        <v>7099.18</v>
      </c>
      <c r="AH714" s="43">
        <f t="shared" si="348"/>
        <v>7999.07</v>
      </c>
      <c r="AI714" s="43">
        <f t="shared" si="349"/>
        <v>7999.07</v>
      </c>
      <c r="AJ714" s="43">
        <f t="shared" si="350"/>
        <v>479944.19999999995</v>
      </c>
      <c r="AK714" s="44">
        <f>VLOOKUP(D714,[1]apoio_Preços_MGS!$A$6:$AN$238,39,FALSE)</f>
        <v>200.00000000000003</v>
      </c>
      <c r="AL714" s="44">
        <f>IF(J714="demais municípios",VLOOKUP(D714,[1]apoio_Preços_MGS!$A$6:$AN$238,39,FALSE),0)</f>
        <v>200.00000000000003</v>
      </c>
      <c r="AM714" s="44">
        <v>0</v>
      </c>
      <c r="AN714" s="45">
        <f t="shared" si="363"/>
        <v>200.00000000000003</v>
      </c>
      <c r="AO714" s="44">
        <f>VLOOKUP(D714,[1]apoio_Preços_MGS!$A$6:$AN$238,40,FALSE)</f>
        <v>551.58000000000004</v>
      </c>
      <c r="AP714" s="44">
        <f>IF(J714="demais municípios",VLOOKUP(D714,[1]apoio_Preços_MGS!$A$6:$AN$238,40,FALSE),0)</f>
        <v>551.58000000000004</v>
      </c>
      <c r="AQ714" s="44">
        <v>0</v>
      </c>
      <c r="AR714" s="45">
        <f t="shared" si="364"/>
        <v>551.58000000000004</v>
      </c>
      <c r="AS714" s="45">
        <f t="shared" si="333"/>
        <v>751.58</v>
      </c>
      <c r="AT714" s="45">
        <f t="shared" si="335"/>
        <v>45094.8</v>
      </c>
      <c r="AU714" s="62"/>
      <c r="AV714" s="46"/>
      <c r="AW714" s="47"/>
      <c r="AX714" s="48"/>
      <c r="AY714" s="49"/>
      <c r="BA714" s="48"/>
    </row>
    <row r="715" spans="1:53" ht="19.5" customHeight="1" x14ac:dyDescent="0.25">
      <c r="A715" s="33" t="str">
        <f t="shared" si="331"/>
        <v>63533440,027</v>
      </c>
      <c r="B715" s="33" t="str">
        <f t="shared" si="332"/>
        <v>1810,027</v>
      </c>
      <c r="C715" s="34" t="str">
        <f>VLOOKUP(D715,[1]apoio_Preços_MGS!$A$6:$B$238,2,FALSE)</f>
        <v>VIGIA DE PARQUE</v>
      </c>
      <c r="D715" s="35">
        <v>181</v>
      </c>
      <c r="E715" s="33" t="str">
        <f>VLOOKUP(D715,[1]apoio_Preços_MGS!$A$6:$F$238,6,FALSE)</f>
        <v>VIGIA DE PARQUE - (PERIC.) - 12x36 DIURNO - 44H</v>
      </c>
      <c r="F715" s="36">
        <f>IFERROR(VLOOKUP(D715,'[1]apoio_cód catmas'!$B$2:$C$863,2,FALSE),0)</f>
        <v>63533</v>
      </c>
      <c r="G715" s="33" t="str">
        <f>IF(H715="N/A",VLOOKUP(F715&amp;40,'[1]apoio_cód catmas'!$A$1:$G$233,4,FALSE),VLOOKUP(F715&amp;H715,'[1]apoio_cód catmas'!$A$1:$G$233,4,FALSE))</f>
        <v>VIGIA DE PARQUE - 12X36 DIURNO (PERICULOSIDADE) - 44H</v>
      </c>
      <c r="H715" s="36">
        <v>44</v>
      </c>
      <c r="I715" s="37">
        <v>2.7000000000000003E-2</v>
      </c>
      <c r="J715" s="38" t="s">
        <v>46</v>
      </c>
      <c r="K715" s="39">
        <v>4</v>
      </c>
      <c r="L715" s="39">
        <f t="shared" si="334"/>
        <v>240</v>
      </c>
      <c r="M715" s="40">
        <f>VLOOKUP(D715,[1]apoio_Preços_MGS!$A$6:$AN$238,18,FALSE)</f>
        <v>2575.3514736842117</v>
      </c>
      <c r="N715" s="40">
        <f>VLOOKUP(D715,[1]apoio_Preços_MGS!$A$6:$AN$238,19,FALSE)</f>
        <v>772.60544210526348</v>
      </c>
      <c r="O715" s="40">
        <f>VLOOKUP(D715,[1]apoio_Preços_MGS!$A$6:$AN$238,20,FALSE)</f>
        <v>0</v>
      </c>
      <c r="P715" s="40">
        <f>VLOOKUP(D715,[1]apoio_Preços_MGS!$A$6:$AN$238,21,FALSE)</f>
        <v>0</v>
      </c>
      <c r="Q715" s="40">
        <f>VLOOKUP(D715,[1]apoio_Preços_MGS!$A$6:$AN$238,22,FALSE)</f>
        <v>0</v>
      </c>
      <c r="R715" s="40">
        <f>VLOOKUP(D715,[1]apoio_Preços_MGS!$A$6:$AN$238,23,FALSE)</f>
        <v>0</v>
      </c>
      <c r="S715" s="40">
        <f>VLOOKUP(D715,[1]apoio_Preços_MGS!$A$6:$AN$238,24,FALSE)</f>
        <v>0</v>
      </c>
      <c r="T715" s="40">
        <f>VLOOKUP(D715,[1]apoio_Preços_MGS!$A$6:$AN$238,25,FALSE)</f>
        <v>4.6499401608187156</v>
      </c>
      <c r="U715" s="40">
        <f>SUM(M715:T715)</f>
        <v>3352.6068559502942</v>
      </c>
      <c r="V715" s="41">
        <f>VLOOKUP(D715,[1]apoio_Preços_MGS!$A$6:$AN$238,27,FALSE)</f>
        <v>0.81799999999999995</v>
      </c>
      <c r="W715" s="40">
        <f>U715*V715</f>
        <v>2742.4324081673403</v>
      </c>
      <c r="X715" s="40">
        <f>VLOOKUP(D715,[1]apoio_Preços_MGS!$A$6:$AN$238,29,FALSE)</f>
        <v>27.513333333333332</v>
      </c>
      <c r="Y715" s="40">
        <f>VLOOKUP(D715,[1]apoio_Preços_MGS!$A$6:$AN$238,30,FALSE)</f>
        <v>51.851515151515152</v>
      </c>
      <c r="Z715" s="40">
        <f t="shared" si="346"/>
        <v>79.36484848484848</v>
      </c>
      <c r="AA715" s="40">
        <f>VLOOKUP(D715,[1]apoio_Preços_MGS!$A$6:$AN$238,32,FALSE)</f>
        <v>4.9446748294736862</v>
      </c>
      <c r="AB715" s="40">
        <f>VLOOKUP(D715,[1]apoio_Preços_MGS!$A$6:$AN$238,33,FALSE)</f>
        <v>149.87399999999997</v>
      </c>
      <c r="AC715" s="41">
        <f>VLOOKUP(D715,[1]apoio_Preços_MGS!$A$6:$AN$238,34,FALSE)</f>
        <v>3.9158639165422469E-2</v>
      </c>
      <c r="AD715" s="40">
        <f>(U715+W715+Z715+AB715+AA715+VLOOKUP(C715,[1]apoio_Prec_Folha!$A:$S,7,FALSE))*AC715</f>
        <v>269.44287352148115</v>
      </c>
      <c r="AE715" s="42">
        <f>VLOOKUP(D715,[1]apoio_Preços_MGS!$A$6:$AN$238,36,FALSE)</f>
        <v>7.0000000000000007E-2</v>
      </c>
      <c r="AF715" s="40">
        <f>(U715+W715+Z715+AB715+AD715+AA715+VLOOKUP(C715,[1]apoio_Prec_Folha!$A:$S,7,FALSE))*AE715</f>
        <v>500.51719626674071</v>
      </c>
      <c r="AG715" s="40">
        <f t="shared" si="347"/>
        <v>7099.18</v>
      </c>
      <c r="AH715" s="43">
        <f t="shared" si="348"/>
        <v>8062.68</v>
      </c>
      <c r="AI715" s="43">
        <f t="shared" si="349"/>
        <v>32250.720000000001</v>
      </c>
      <c r="AJ715" s="43">
        <f t="shared" si="350"/>
        <v>1935043.2000000002</v>
      </c>
      <c r="AK715" s="44">
        <f>VLOOKUP(D715,[1]apoio_Preços_MGS!$A$6:$AN$238,39,FALSE)</f>
        <v>200.00000000000003</v>
      </c>
      <c r="AL715" s="44">
        <f>IF(J715="demais municípios",VLOOKUP(D715,[1]apoio_Preços_MGS!$A$6:$AN$238,39,FALSE),0)</f>
        <v>200.00000000000003</v>
      </c>
      <c r="AM715" s="44">
        <v>0</v>
      </c>
      <c r="AN715" s="45">
        <f t="shared" si="363"/>
        <v>800.00000000000011</v>
      </c>
      <c r="AO715" s="44">
        <f>VLOOKUP(D715,[1]apoio_Preços_MGS!$A$6:$AN$238,40,FALSE)</f>
        <v>551.58000000000004</v>
      </c>
      <c r="AP715" s="44">
        <f>IF(J715="demais municípios",VLOOKUP(D715,[1]apoio_Preços_MGS!$A$6:$AN$238,40,FALSE),0)</f>
        <v>551.58000000000004</v>
      </c>
      <c r="AQ715" s="44">
        <v>0</v>
      </c>
      <c r="AR715" s="45">
        <f t="shared" si="364"/>
        <v>2206.3200000000002</v>
      </c>
      <c r="AS715" s="45">
        <f t="shared" ref="AS715:AS728" si="365">AN715+AR715</f>
        <v>3006.32</v>
      </c>
      <c r="AT715" s="45">
        <f t="shared" si="335"/>
        <v>180379.2</v>
      </c>
      <c r="AU715" s="62"/>
      <c r="AV715" s="46"/>
      <c r="AW715" s="47"/>
      <c r="AX715" s="48"/>
      <c r="AY715" s="49"/>
      <c r="BA715" s="48"/>
    </row>
    <row r="716" spans="1:53" ht="19.5" customHeight="1" x14ac:dyDescent="0.25">
      <c r="A716" s="33" t="str">
        <f t="shared" ref="A716:A728" si="366">CONCATENATE(F716,H716,I716)</f>
        <v>63533440,03</v>
      </c>
      <c r="B716" s="33" t="str">
        <f t="shared" ref="B716:B728" si="367">CONCATENATE(D716,I716)</f>
        <v>1810,03</v>
      </c>
      <c r="C716" s="34" t="str">
        <f>VLOOKUP(D716,[1]apoio_Preços_MGS!$A$6:$B$238,2,FALSE)</f>
        <v>VIGIA DE PARQUE</v>
      </c>
      <c r="D716" s="35">
        <v>181</v>
      </c>
      <c r="E716" s="33" t="str">
        <f>VLOOKUP(D716,[1]apoio_Preços_MGS!$A$6:$F$238,6,FALSE)</f>
        <v>VIGIA DE PARQUE - (PERIC.) - 12x36 DIURNO - 44H</v>
      </c>
      <c r="F716" s="36">
        <f>IFERROR(VLOOKUP(D716,'[1]apoio_cód catmas'!$B$2:$C$863,2,FALSE),0)</f>
        <v>63533</v>
      </c>
      <c r="G716" s="33" t="str">
        <f>IF(H716="N/A",VLOOKUP(F716&amp;40,'[1]apoio_cód catmas'!$A$1:$G$233,4,FALSE),VLOOKUP(F716&amp;H716,'[1]apoio_cód catmas'!$A$1:$G$233,4,FALSE))</f>
        <v>VIGIA DE PARQUE - 12X36 DIURNO (PERICULOSIDADE) - 44H</v>
      </c>
      <c r="H716" s="36">
        <v>44</v>
      </c>
      <c r="I716" s="37">
        <v>0.03</v>
      </c>
      <c r="J716" s="38" t="s">
        <v>46</v>
      </c>
      <c r="K716" s="39">
        <v>12</v>
      </c>
      <c r="L716" s="39">
        <f t="shared" si="334"/>
        <v>720</v>
      </c>
      <c r="M716" s="40">
        <f>VLOOKUP(D716,[1]apoio_Preços_MGS!$A$6:$AN$238,18,FALSE)</f>
        <v>2575.3514736842117</v>
      </c>
      <c r="N716" s="40">
        <f>VLOOKUP(D716,[1]apoio_Preços_MGS!$A$6:$AN$238,19,FALSE)</f>
        <v>772.60544210526348</v>
      </c>
      <c r="O716" s="40">
        <f>VLOOKUP(D716,[1]apoio_Preços_MGS!$A$6:$AN$238,20,FALSE)</f>
        <v>0</v>
      </c>
      <c r="P716" s="40">
        <f>VLOOKUP(D716,[1]apoio_Preços_MGS!$A$6:$AN$238,21,FALSE)</f>
        <v>0</v>
      </c>
      <c r="Q716" s="40">
        <f>VLOOKUP(D716,[1]apoio_Preços_MGS!$A$6:$AN$238,22,FALSE)</f>
        <v>0</v>
      </c>
      <c r="R716" s="40">
        <f>VLOOKUP(D716,[1]apoio_Preços_MGS!$A$6:$AN$238,23,FALSE)</f>
        <v>0</v>
      </c>
      <c r="S716" s="40">
        <f>VLOOKUP(D716,[1]apoio_Preços_MGS!$A$6:$AN$238,24,FALSE)</f>
        <v>0</v>
      </c>
      <c r="T716" s="40">
        <f>VLOOKUP(D716,[1]apoio_Preços_MGS!$A$6:$AN$238,25,FALSE)</f>
        <v>4.6499401608187156</v>
      </c>
      <c r="U716" s="40">
        <f>SUM(M716:T716)</f>
        <v>3352.6068559502942</v>
      </c>
      <c r="V716" s="41">
        <v>0.81799999999999995</v>
      </c>
      <c r="W716" s="40">
        <f>U716*V716</f>
        <v>2742.4324081673403</v>
      </c>
      <c r="X716" s="40">
        <f>VLOOKUP(D716,[1]apoio_Preços_MGS!$A$6:$AN$238,29,FALSE)</f>
        <v>27.513333333333332</v>
      </c>
      <c r="Y716" s="40">
        <f>VLOOKUP(D716,[1]apoio_Preços_MGS!$A$6:$AN$238,30,FALSE)</f>
        <v>51.851515151515152</v>
      </c>
      <c r="Z716" s="40">
        <f t="shared" si="346"/>
        <v>79.36484848484848</v>
      </c>
      <c r="AA716" s="40">
        <f>VLOOKUP(D716,[1]apoio_Preços_MGS!$A$6:$AN$238,32,FALSE)</f>
        <v>4.9446748294736862</v>
      </c>
      <c r="AB716" s="40">
        <f>VLOOKUP(D716,[1]apoio_Preços_MGS!$A$6:$AN$238,33,FALSE)</f>
        <v>149.87399999999997</v>
      </c>
      <c r="AC716" s="41">
        <f>VLOOKUP(D716,[1]apoio_Preços_MGS!$A$6:$AN$238,34,FALSE)</f>
        <v>3.9158639165422469E-2</v>
      </c>
      <c r="AD716" s="40">
        <f>(U716+W716+Z716+AB716+AA716+VLOOKUP(C716,[1]apoio_Prec_Folha!$A:$S,7,FALSE))*AC716</f>
        <v>269.44287352148115</v>
      </c>
      <c r="AE716" s="42">
        <f>VLOOKUP(D716,[1]apoio_Preços_MGS!$A$6:$AN$238,36,FALSE)</f>
        <v>7.0000000000000007E-2</v>
      </c>
      <c r="AF716" s="40">
        <f>(U716+W716+Z716+AB716+AD716+AA716+VLOOKUP(C716,[1]apoio_Prec_Folha!$A:$S,7,FALSE))*AE716</f>
        <v>500.51719626674071</v>
      </c>
      <c r="AG716" s="40">
        <f t="shared" si="347"/>
        <v>7099.18</v>
      </c>
      <c r="AH716" s="43">
        <f t="shared" si="348"/>
        <v>8090.22</v>
      </c>
      <c r="AI716" s="43">
        <f t="shared" si="349"/>
        <v>97082.64</v>
      </c>
      <c r="AJ716" s="43">
        <f t="shared" si="350"/>
        <v>5824958.4000000004</v>
      </c>
      <c r="AK716" s="44">
        <f>VLOOKUP(D716,[1]apoio_Preços_MGS!$A$6:$AN$238,39,FALSE)</f>
        <v>200.00000000000003</v>
      </c>
      <c r="AL716" s="44">
        <f>IF(J716="demais municípios",VLOOKUP(D716,[1]apoio_Preços_MGS!$A$6:$AN$238,39,FALSE),0)</f>
        <v>200.00000000000003</v>
      </c>
      <c r="AM716" s="44">
        <v>0</v>
      </c>
      <c r="AN716" s="45">
        <f t="shared" si="363"/>
        <v>2400.0000000000005</v>
      </c>
      <c r="AO716" s="44">
        <f>VLOOKUP(D716,[1]apoio_Preços_MGS!$A$6:$AN$238,40,FALSE)</f>
        <v>551.58000000000004</v>
      </c>
      <c r="AP716" s="44">
        <f>IF(J716="demais municípios",VLOOKUP(D716,[1]apoio_Preços_MGS!$A$6:$AN$238,40,FALSE),0)</f>
        <v>551.58000000000004</v>
      </c>
      <c r="AQ716" s="44">
        <v>0</v>
      </c>
      <c r="AR716" s="45">
        <f t="shared" si="364"/>
        <v>6618.9600000000009</v>
      </c>
      <c r="AS716" s="45">
        <f t="shared" si="365"/>
        <v>9018.9600000000009</v>
      </c>
      <c r="AT716" s="45">
        <f t="shared" ref="AT716:AT729" si="368">(AN716+AR716)*60</f>
        <v>541137.60000000009</v>
      </c>
      <c r="AU716" s="62"/>
      <c r="AV716" s="46"/>
      <c r="AW716" s="47"/>
      <c r="AX716" s="48"/>
      <c r="AY716" s="49"/>
      <c r="BA716" s="48"/>
    </row>
    <row r="717" spans="1:53" ht="19.5" customHeight="1" x14ac:dyDescent="0.25">
      <c r="A717" s="33" t="str">
        <f t="shared" si="366"/>
        <v>63533440,04</v>
      </c>
      <c r="B717" s="33" t="str">
        <f t="shared" si="367"/>
        <v>1810,04</v>
      </c>
      <c r="C717" s="34" t="str">
        <f>VLOOKUP(D717,[1]apoio_Preços_MGS!$A$6:$B$238,2,FALSE)</f>
        <v>VIGIA DE PARQUE</v>
      </c>
      <c r="D717" s="35">
        <v>181</v>
      </c>
      <c r="E717" s="33" t="str">
        <f>VLOOKUP(D717,[1]apoio_Preços_MGS!$A$6:$F$238,6,FALSE)</f>
        <v>VIGIA DE PARQUE - (PERIC.) - 12x36 DIURNO - 44H</v>
      </c>
      <c r="F717" s="36">
        <f>IFERROR(VLOOKUP(D717,'[1]apoio_cód catmas'!$B$2:$C$863,2,FALSE),0)</f>
        <v>63533</v>
      </c>
      <c r="G717" s="33" t="str">
        <f>IF(H717="N/A",VLOOKUP(F717&amp;40,'[1]apoio_cód catmas'!$A$1:$G$233,4,FALSE),VLOOKUP(F717&amp;H717,'[1]apoio_cód catmas'!$A$1:$G$233,4,FALSE))</f>
        <v>VIGIA DE PARQUE - 12X36 DIURNO (PERICULOSIDADE) - 44H</v>
      </c>
      <c r="H717" s="36">
        <v>44</v>
      </c>
      <c r="I717" s="37">
        <v>0.04</v>
      </c>
      <c r="J717" s="38" t="s">
        <v>46</v>
      </c>
      <c r="K717" s="39">
        <v>2</v>
      </c>
      <c r="L717" s="39">
        <f t="shared" si="334"/>
        <v>120</v>
      </c>
      <c r="M717" s="40">
        <f>VLOOKUP(D717,[1]apoio_Preços_MGS!$A$6:$AN$238,18,FALSE)</f>
        <v>2575.3514736842117</v>
      </c>
      <c r="N717" s="40">
        <f>VLOOKUP(D717,[1]apoio_Preços_MGS!$A$6:$AN$238,19,FALSE)</f>
        <v>772.60544210526348</v>
      </c>
      <c r="O717" s="40">
        <f>VLOOKUP(D717,[1]apoio_Preços_MGS!$A$6:$AN$238,20,FALSE)</f>
        <v>0</v>
      </c>
      <c r="P717" s="40">
        <f>VLOOKUP(D717,[1]apoio_Preços_MGS!$A$6:$AN$238,21,FALSE)</f>
        <v>0</v>
      </c>
      <c r="Q717" s="40">
        <f>VLOOKUP(D717,[1]apoio_Preços_MGS!$A$6:$AN$238,22,FALSE)</f>
        <v>0</v>
      </c>
      <c r="R717" s="40">
        <f>VLOOKUP(D717,[1]apoio_Preços_MGS!$A$6:$AN$238,23,FALSE)</f>
        <v>0</v>
      </c>
      <c r="S717" s="40">
        <f>VLOOKUP(D717,[1]apoio_Preços_MGS!$A$6:$AN$238,24,FALSE)</f>
        <v>0</v>
      </c>
      <c r="T717" s="40">
        <f>VLOOKUP(D717,[1]apoio_Preços_MGS!$A$6:$AN$238,25,FALSE)</f>
        <v>4.6499401608187156</v>
      </c>
      <c r="U717" s="40">
        <f t="shared" ref="U717:U728" si="369">SUM(M717:T717)</f>
        <v>3352.6068559502942</v>
      </c>
      <c r="V717" s="41">
        <v>0.81799999999999995</v>
      </c>
      <c r="W717" s="40">
        <f t="shared" ref="W717:W728" si="370">U717*V717</f>
        <v>2742.4324081673403</v>
      </c>
      <c r="X717" s="40">
        <f>VLOOKUP(D717,[1]apoio_Preços_MGS!$A$6:$AN$238,29,FALSE)</f>
        <v>27.513333333333332</v>
      </c>
      <c r="Y717" s="40">
        <f>VLOOKUP(D717,[1]apoio_Preços_MGS!$A$6:$AN$238,30,FALSE)</f>
        <v>51.851515151515152</v>
      </c>
      <c r="Z717" s="40">
        <f t="shared" si="346"/>
        <v>79.36484848484848</v>
      </c>
      <c r="AA717" s="40">
        <f>VLOOKUP(D717,[1]apoio_Preços_MGS!$A$6:$AN$238,32,FALSE)</f>
        <v>4.9446748294736862</v>
      </c>
      <c r="AB717" s="40">
        <f>VLOOKUP(D717,[1]apoio_Preços_MGS!$A$6:$AN$238,33,FALSE)</f>
        <v>149.87399999999997</v>
      </c>
      <c r="AC717" s="41">
        <f>VLOOKUP(D717,[1]apoio_Preços_MGS!$A$6:$AN$238,34,FALSE)</f>
        <v>3.9158639165422469E-2</v>
      </c>
      <c r="AD717" s="40">
        <f>(U717+W717+Z717+AB717+AA717+VLOOKUP(C717,[1]apoio_Prec_Folha!$A:$S,7,FALSE))*AC717</f>
        <v>269.44287352148115</v>
      </c>
      <c r="AE717" s="42">
        <f>VLOOKUP(D717,[1]apoio_Preços_MGS!$A$6:$AN$238,36,FALSE)</f>
        <v>7.0000000000000007E-2</v>
      </c>
      <c r="AF717" s="40">
        <f>(U717+W717+Z717+AB717+AD717+AA717+VLOOKUP(C717,[1]apoio_Prec_Folha!$A:$S,7,FALSE))*AE717</f>
        <v>500.51719626674071</v>
      </c>
      <c r="AG717" s="40">
        <f t="shared" si="347"/>
        <v>7099.18</v>
      </c>
      <c r="AH717" s="43">
        <f t="shared" si="348"/>
        <v>8183.5</v>
      </c>
      <c r="AI717" s="43">
        <f t="shared" si="349"/>
        <v>16367</v>
      </c>
      <c r="AJ717" s="43">
        <f t="shared" si="350"/>
        <v>982020</v>
      </c>
      <c r="AK717" s="44">
        <f>VLOOKUP(D717,[1]apoio_Preços_MGS!$A$6:$AN$238,39,FALSE)</f>
        <v>200.00000000000003</v>
      </c>
      <c r="AL717" s="44">
        <f>IF(J717="demais municípios",VLOOKUP(D717,[1]apoio_Preços_MGS!$A$6:$AN$238,39,FALSE),0)</f>
        <v>200.00000000000003</v>
      </c>
      <c r="AM717" s="44">
        <v>0</v>
      </c>
      <c r="AN717" s="45">
        <f t="shared" si="363"/>
        <v>400.00000000000006</v>
      </c>
      <c r="AO717" s="44">
        <f>VLOOKUP(D717,[1]apoio_Preços_MGS!$A$6:$AN$238,40,FALSE)</f>
        <v>551.58000000000004</v>
      </c>
      <c r="AP717" s="44">
        <f>IF(J717="demais municípios",VLOOKUP(D717,[1]apoio_Preços_MGS!$A$6:$AN$238,40,FALSE),0)</f>
        <v>551.58000000000004</v>
      </c>
      <c r="AQ717" s="44">
        <v>0</v>
      </c>
      <c r="AR717" s="45">
        <f t="shared" si="364"/>
        <v>1103.1600000000001</v>
      </c>
      <c r="AS717" s="45">
        <f t="shared" si="365"/>
        <v>1503.16</v>
      </c>
      <c r="AT717" s="45">
        <f t="shared" si="368"/>
        <v>90189.6</v>
      </c>
      <c r="AU717" s="62"/>
      <c r="AV717" s="46"/>
      <c r="AW717" s="47"/>
      <c r="AX717" s="48"/>
      <c r="AY717" s="49"/>
      <c r="BA717" s="48"/>
    </row>
    <row r="718" spans="1:53" ht="19.5" customHeight="1" x14ac:dyDescent="0.25">
      <c r="A718" s="33" t="str">
        <f t="shared" si="366"/>
        <v>63533440,05</v>
      </c>
      <c r="B718" s="33" t="str">
        <f t="shared" si="367"/>
        <v>1810,05</v>
      </c>
      <c r="C718" s="34" t="str">
        <f>VLOOKUP(D718,[1]apoio_Preços_MGS!$A$6:$B$238,2,FALSE)</f>
        <v>VIGIA DE PARQUE</v>
      </c>
      <c r="D718" s="35">
        <v>181</v>
      </c>
      <c r="E718" s="33" t="str">
        <f>VLOOKUP(D718,[1]apoio_Preços_MGS!$A$6:$F$238,6,FALSE)</f>
        <v>VIGIA DE PARQUE - (PERIC.) - 12x36 DIURNO - 44H</v>
      </c>
      <c r="F718" s="36">
        <f>IFERROR(VLOOKUP(D718,'[1]apoio_cód catmas'!$B$2:$C$863,2,FALSE),0)</f>
        <v>63533</v>
      </c>
      <c r="G718" s="33" t="str">
        <f>IF(H718="N/A",VLOOKUP(F718&amp;40,'[1]apoio_cód catmas'!$A$1:$G$233,4,FALSE),VLOOKUP(F718&amp;H718,'[1]apoio_cód catmas'!$A$1:$G$233,4,FALSE))</f>
        <v>VIGIA DE PARQUE - 12X36 DIURNO (PERICULOSIDADE) - 44H</v>
      </c>
      <c r="H718" s="36">
        <v>44</v>
      </c>
      <c r="I718" s="37">
        <v>0.05</v>
      </c>
      <c r="J718" s="38" t="s">
        <v>46</v>
      </c>
      <c r="K718" s="39">
        <f>13-K719</f>
        <v>6</v>
      </c>
      <c r="L718" s="39">
        <f t="shared" si="334"/>
        <v>360</v>
      </c>
      <c r="M718" s="40">
        <f>VLOOKUP(D718,[1]apoio_Preços_MGS!$A$6:$AN$238,18,FALSE)</f>
        <v>2575.3514736842117</v>
      </c>
      <c r="N718" s="40">
        <f>VLOOKUP(D718,[1]apoio_Preços_MGS!$A$6:$AN$238,19,FALSE)</f>
        <v>772.60544210526348</v>
      </c>
      <c r="O718" s="40">
        <f>VLOOKUP(D718,[1]apoio_Preços_MGS!$A$6:$AN$238,20,FALSE)</f>
        <v>0</v>
      </c>
      <c r="P718" s="40">
        <f>VLOOKUP(D718,[1]apoio_Preços_MGS!$A$6:$AN$238,21,FALSE)</f>
        <v>0</v>
      </c>
      <c r="Q718" s="40">
        <f>VLOOKUP(D718,[1]apoio_Preços_MGS!$A$6:$AN$238,22,FALSE)</f>
        <v>0</v>
      </c>
      <c r="R718" s="40">
        <f>VLOOKUP(D718,[1]apoio_Preços_MGS!$A$6:$AN$238,23,FALSE)</f>
        <v>0</v>
      </c>
      <c r="S718" s="40">
        <f>VLOOKUP(D718,[1]apoio_Preços_MGS!$A$6:$AN$238,24,FALSE)</f>
        <v>0</v>
      </c>
      <c r="T718" s="40">
        <f>VLOOKUP(D718,[1]apoio_Preços_MGS!$A$6:$AN$238,25,FALSE)</f>
        <v>4.6499401608187156</v>
      </c>
      <c r="U718" s="40">
        <f t="shared" si="369"/>
        <v>3352.6068559502942</v>
      </c>
      <c r="V718" s="41">
        <f>VLOOKUP(D718,[1]apoio_Preços_MGS!$A$6:$AN$238,27,FALSE)</f>
        <v>0.81799999999999995</v>
      </c>
      <c r="W718" s="40">
        <f t="shared" si="370"/>
        <v>2742.4324081673403</v>
      </c>
      <c r="X718" s="40">
        <f>VLOOKUP(D718,[1]apoio_Preços_MGS!$A$6:$AN$238,29,FALSE)</f>
        <v>27.513333333333332</v>
      </c>
      <c r="Y718" s="40">
        <f>VLOOKUP(D718,[1]apoio_Preços_MGS!$A$6:$AN$238,30,FALSE)</f>
        <v>51.851515151515152</v>
      </c>
      <c r="Z718" s="40">
        <f t="shared" si="346"/>
        <v>79.36484848484848</v>
      </c>
      <c r="AA718" s="40">
        <f>VLOOKUP(D718,[1]apoio_Preços_MGS!$A$6:$AN$238,32,FALSE)</f>
        <v>4.9446748294736862</v>
      </c>
      <c r="AB718" s="40">
        <f>VLOOKUP(D718,[1]apoio_Preços_MGS!$A$6:$AN$238,33,FALSE)</f>
        <v>149.87399999999997</v>
      </c>
      <c r="AC718" s="41">
        <f>VLOOKUP(D718,[1]apoio_Preços_MGS!$A$6:$AN$238,34,FALSE)</f>
        <v>3.9158639165422469E-2</v>
      </c>
      <c r="AD718" s="40">
        <f>(U718+W718+Z718+AB718+AA718+VLOOKUP(C718,[1]apoio_Prec_Folha!$A:$S,7,FALSE))*AC718</f>
        <v>269.44287352148115</v>
      </c>
      <c r="AE718" s="42">
        <f>VLOOKUP(D718,[1]apoio_Preços_MGS!$A$6:$AN$238,36,FALSE)</f>
        <v>7.0000000000000007E-2</v>
      </c>
      <c r="AF718" s="40">
        <f>(U718+W718+Z718+AB718+AD718+AA718+VLOOKUP(C718,[1]apoio_Prec_Folha!$A:$S,7,FALSE))*AE718</f>
        <v>500.51719626674071</v>
      </c>
      <c r="AG718" s="40">
        <f t="shared" si="347"/>
        <v>7099.18</v>
      </c>
      <c r="AH718" s="43">
        <f t="shared" si="348"/>
        <v>8278.92</v>
      </c>
      <c r="AI718" s="43">
        <f t="shared" si="349"/>
        <v>49673.520000000004</v>
      </c>
      <c r="AJ718" s="43">
        <f t="shared" si="350"/>
        <v>2980411.2</v>
      </c>
      <c r="AK718" s="44">
        <f>VLOOKUP(D718,[1]apoio_Preços_MGS!$A$6:$AN$238,39,FALSE)</f>
        <v>200.00000000000003</v>
      </c>
      <c r="AL718" s="44">
        <f>IF(J718="demais municípios",VLOOKUP(D718,[1]apoio_Preços_MGS!$A$6:$AN$238,39,FALSE),0)</f>
        <v>200.00000000000003</v>
      </c>
      <c r="AM718" s="44">
        <v>0</v>
      </c>
      <c r="AN718" s="45">
        <f t="shared" si="363"/>
        <v>1200.0000000000002</v>
      </c>
      <c r="AO718" s="44">
        <f>VLOOKUP(D718,[1]apoio_Preços_MGS!$A$6:$AN$238,40,FALSE)</f>
        <v>551.58000000000004</v>
      </c>
      <c r="AP718" s="44">
        <f>IF(J718="demais municípios",VLOOKUP(D718,[1]apoio_Preços_MGS!$A$6:$AN$238,40,FALSE),0)</f>
        <v>551.58000000000004</v>
      </c>
      <c r="AQ718" s="44">
        <v>0</v>
      </c>
      <c r="AR718" s="45">
        <f t="shared" si="364"/>
        <v>3309.4800000000005</v>
      </c>
      <c r="AS718" s="45">
        <f t="shared" si="365"/>
        <v>4509.4800000000005</v>
      </c>
      <c r="AT718" s="45">
        <f t="shared" si="368"/>
        <v>270568.80000000005</v>
      </c>
      <c r="AU718" s="62"/>
      <c r="AV718" s="46"/>
      <c r="AW718" s="47"/>
      <c r="AX718" s="48"/>
      <c r="AY718" s="49"/>
      <c r="BA718" s="48"/>
    </row>
    <row r="719" spans="1:53" ht="19.5" customHeight="1" x14ac:dyDescent="0.25">
      <c r="A719" s="33" t="str">
        <f t="shared" si="366"/>
        <v>63533440,05</v>
      </c>
      <c r="B719" s="33" t="str">
        <f t="shared" si="367"/>
        <v>1810,05</v>
      </c>
      <c r="C719" s="34" t="str">
        <f>VLOOKUP(D719,[1]apoio_Preços_MGS!$A$6:$B$238,2,FALSE)</f>
        <v>VIGIA DE PARQUE</v>
      </c>
      <c r="D719" s="35">
        <v>181</v>
      </c>
      <c r="E719" s="33" t="str">
        <f>VLOOKUP(D719,[1]apoio_Preços_MGS!$A$6:$F$238,6,FALSE)</f>
        <v>VIGIA DE PARQUE - (PERIC.) - 12x36 DIURNO - 44H</v>
      </c>
      <c r="F719" s="36">
        <f>IFERROR(VLOOKUP(D719,'[1]apoio_cód catmas'!$B$2:$C$863,2,FALSE),0)</f>
        <v>63533</v>
      </c>
      <c r="G719" s="33" t="str">
        <f>IF(H719="N/A",VLOOKUP(F719&amp;40,'[1]apoio_cód catmas'!$A$1:$G$233,4,FALSE),VLOOKUP(F719&amp;H719,'[1]apoio_cód catmas'!$A$1:$G$233,4,FALSE))</f>
        <v>VIGIA DE PARQUE - 12X36 DIURNO (PERICULOSIDADE) - 44H</v>
      </c>
      <c r="H719" s="36">
        <v>44</v>
      </c>
      <c r="I719" s="37">
        <v>0.05</v>
      </c>
      <c r="J719" s="38" t="s">
        <v>47</v>
      </c>
      <c r="K719" s="39">
        <v>7</v>
      </c>
      <c r="L719" s="39">
        <f t="shared" si="334"/>
        <v>420</v>
      </c>
      <c r="M719" s="40">
        <f>VLOOKUP(D719,[1]apoio_Preços_MGS!$A$6:$AN$238,18,FALSE)</f>
        <v>2575.3514736842117</v>
      </c>
      <c r="N719" s="40">
        <f>VLOOKUP(D719,[1]apoio_Preços_MGS!$A$6:$AN$238,19,FALSE)</f>
        <v>772.60544210526348</v>
      </c>
      <c r="O719" s="40">
        <f>VLOOKUP(D719,[1]apoio_Preços_MGS!$A$6:$AN$238,20,FALSE)</f>
        <v>0</v>
      </c>
      <c r="P719" s="40">
        <f>VLOOKUP(D719,[1]apoio_Preços_MGS!$A$6:$AN$238,21,FALSE)</f>
        <v>0</v>
      </c>
      <c r="Q719" s="40">
        <f>VLOOKUP(D719,[1]apoio_Preços_MGS!$A$6:$AN$238,22,FALSE)</f>
        <v>0</v>
      </c>
      <c r="R719" s="40">
        <f>VLOOKUP(D719,[1]apoio_Preços_MGS!$A$6:$AN$238,23,FALSE)</f>
        <v>0</v>
      </c>
      <c r="S719" s="40">
        <f>VLOOKUP(D719,[1]apoio_Preços_MGS!$A$6:$AN$238,24,FALSE)</f>
        <v>0</v>
      </c>
      <c r="T719" s="40">
        <f>VLOOKUP(D719,[1]apoio_Preços_MGS!$A$6:$AN$238,25,FALSE)</f>
        <v>4.6499401608187156</v>
      </c>
      <c r="U719" s="40">
        <f t="shared" si="369"/>
        <v>3352.6068559502942</v>
      </c>
      <c r="V719" s="41">
        <f>VLOOKUP(D719,[1]apoio_Preços_MGS!$A$6:$AN$238,27,FALSE)</f>
        <v>0.81799999999999995</v>
      </c>
      <c r="W719" s="40">
        <f t="shared" si="370"/>
        <v>2742.4324081673403</v>
      </c>
      <c r="X719" s="40">
        <f>VLOOKUP(D719,[1]apoio_Preços_MGS!$A$6:$AN$238,29,FALSE)</f>
        <v>27.513333333333332</v>
      </c>
      <c r="Y719" s="40">
        <f>VLOOKUP(D719,[1]apoio_Preços_MGS!$A$6:$AN$238,30,FALSE)</f>
        <v>51.851515151515152</v>
      </c>
      <c r="Z719" s="40">
        <f t="shared" si="346"/>
        <v>79.36484848484848</v>
      </c>
      <c r="AA719" s="40">
        <f>VLOOKUP(D719,[1]apoio_Preços_MGS!$A$6:$AN$238,32,FALSE)</f>
        <v>4.9446748294736862</v>
      </c>
      <c r="AB719" s="40">
        <f>VLOOKUP(D719,[1]apoio_Preços_MGS!$A$6:$AN$238,33,FALSE)</f>
        <v>149.87399999999997</v>
      </c>
      <c r="AC719" s="41">
        <f>VLOOKUP(D719,[1]apoio_Preços_MGS!$A$6:$AN$238,34,FALSE)</f>
        <v>3.9158639165422469E-2</v>
      </c>
      <c r="AD719" s="40">
        <f>(U719+W719+Z719+AB719+AA719+VLOOKUP(C719,[1]apoio_Prec_Folha!$A:$S,7,FALSE))*AC719</f>
        <v>269.44287352148115</v>
      </c>
      <c r="AE719" s="42">
        <f>VLOOKUP(D719,[1]apoio_Preços_MGS!$A$6:$AN$238,36,FALSE)</f>
        <v>7.0000000000000007E-2</v>
      </c>
      <c r="AF719" s="40">
        <f>(U719+W719+Z719+AB719+AD719+AA719+VLOOKUP(C719,[1]apoio_Prec_Folha!$A:$S,7,FALSE))*AE719</f>
        <v>500.51719626674071</v>
      </c>
      <c r="AG719" s="40">
        <f t="shared" si="347"/>
        <v>7099.18</v>
      </c>
      <c r="AH719" s="43">
        <f t="shared" si="348"/>
        <v>8278.92</v>
      </c>
      <c r="AI719" s="43">
        <f t="shared" si="349"/>
        <v>57952.44</v>
      </c>
      <c r="AJ719" s="43">
        <f t="shared" si="350"/>
        <v>3477146.4</v>
      </c>
      <c r="AK719" s="44">
        <f>VLOOKUP(D719,[1]apoio_Preços_MGS!$A$6:$AN$238,39,FALSE)</f>
        <v>200.00000000000003</v>
      </c>
      <c r="AL719" s="44">
        <f>IF(J719="demais municípios",VLOOKUP(D719,[1]apoio_Preços_MGS!$A$6:$AN$238,39,FALSE),0)</f>
        <v>0</v>
      </c>
      <c r="AM719" s="44">
        <f>TRUNC(ROUND(($I719)/(1-($I719)),5)*VLOOKUP(D719,[1]apoio_Preços_MGS!$A$6:$AN$238,39,FALSE)+VLOOKUP(D719,[1]apoio_Preços_MGS!$A$6:$AN$238,39,FALSE),2)</f>
        <v>210.52</v>
      </c>
      <c r="AN719" s="45">
        <f t="shared" ref="AN719:AN728" si="371">AM719*K719</f>
        <v>1473.64</v>
      </c>
      <c r="AO719" s="44">
        <f>VLOOKUP(D719,[1]apoio_Preços_MGS!$A$6:$AN$238,40,FALSE)</f>
        <v>551.58000000000004</v>
      </c>
      <c r="AP719" s="44">
        <f>IF(J719="demais municípios",VLOOKUP(D719,[1]apoio_Preços_MGS!$A$6:$AN$238,40,FALSE),0)</f>
        <v>0</v>
      </c>
      <c r="AQ719" s="44">
        <f>TRUNC(ROUND(($I719)/(1-($I719)),5)*VLOOKUP(D719,[1]apoio_Preços_MGS!$A$6:$AN$238,40,FALSE)+VLOOKUP(D719,[1]apoio_Preços_MGS!$A$6:$AN$238,40,FALSE),2)</f>
        <v>580.6</v>
      </c>
      <c r="AR719" s="45">
        <f t="shared" ref="AR719:AR728" si="372">AQ719*K719</f>
        <v>4064.2000000000003</v>
      </c>
      <c r="AS719" s="45">
        <f t="shared" si="365"/>
        <v>5537.84</v>
      </c>
      <c r="AT719" s="45">
        <f t="shared" si="368"/>
        <v>332270.40000000002</v>
      </c>
      <c r="AU719" s="62"/>
      <c r="AV719" s="46"/>
      <c r="AW719" s="47"/>
      <c r="AX719" s="48"/>
      <c r="AY719" s="49"/>
      <c r="BA719" s="48"/>
    </row>
    <row r="720" spans="1:53" ht="19.5" customHeight="1" x14ac:dyDescent="0.25">
      <c r="A720" s="33" t="str">
        <f t="shared" si="366"/>
        <v>64335440,02</v>
      </c>
      <c r="B720" s="33" t="str">
        <f t="shared" si="367"/>
        <v>1820,02</v>
      </c>
      <c r="C720" s="34" t="str">
        <f>VLOOKUP(D720,[1]apoio_Preços_MGS!$A$6:$B$238,2,FALSE)</f>
        <v>VIGIA DE PARQUE</v>
      </c>
      <c r="D720" s="35">
        <v>182</v>
      </c>
      <c r="E720" s="33" t="str">
        <f>VLOOKUP(D720,[1]apoio_Preços_MGS!$A$6:$F$238,6,FALSE)</f>
        <v>VIGIA DE PARQUE - (PERIC.) - 12x36 NOTURNO - 44H</v>
      </c>
      <c r="F720" s="36">
        <f>IFERROR(VLOOKUP(D720,'[1]apoio_cód catmas'!$B$2:$C$863,2,FALSE),0)</f>
        <v>64335</v>
      </c>
      <c r="G720" s="33" t="str">
        <f>IF(H720="N/A",VLOOKUP(F720&amp;40,'[1]apoio_cód catmas'!$A$1:$G$233,4,FALSE),VLOOKUP(F720&amp;H720,'[1]apoio_cód catmas'!$A$1:$G$233,4,FALSE))</f>
        <v>VIGIA DE PARQUE - 12X36 NOTURNO (PERICULOSIDADE) - 44H</v>
      </c>
      <c r="H720" s="36">
        <v>44</v>
      </c>
      <c r="I720" s="37">
        <v>0.02</v>
      </c>
      <c r="J720" s="38" t="s">
        <v>46</v>
      </c>
      <c r="K720" s="39">
        <v>1</v>
      </c>
      <c r="L720" s="39">
        <f t="shared" si="334"/>
        <v>60</v>
      </c>
      <c r="M720" s="40">
        <f>VLOOKUP(D720,[1]apoio_Preços_MGS!$A$6:$AN$238,18,FALSE)</f>
        <v>2575.3514736842117</v>
      </c>
      <c r="N720" s="40">
        <f>VLOOKUP(D720,[1]apoio_Preços_MGS!$A$6:$AN$238,19,FALSE)</f>
        <v>772.60544210526348</v>
      </c>
      <c r="O720" s="40">
        <f>VLOOKUP(D720,[1]apoio_Preços_MGS!$A$6:$AN$238,20,FALSE)</f>
        <v>779.93822878087371</v>
      </c>
      <c r="P720" s="40">
        <f>VLOOKUP(D720,[1]apoio_Preços_MGS!$A$6:$AN$238,21,FALSE)</f>
        <v>17.024854110807137</v>
      </c>
      <c r="Q720" s="40">
        <f>VLOOKUP(D720,[1]apoio_Preços_MGS!$A$6:$AN$238,22,FALSE)</f>
        <v>63.843183762565893</v>
      </c>
      <c r="R720" s="40">
        <f>VLOOKUP(D720,[1]apoio_Preços_MGS!$A$6:$AN$238,23,FALSE)</f>
        <v>0</v>
      </c>
      <c r="S720" s="40">
        <f>VLOOKUP(D720,[1]apoio_Preços_MGS!$A$6:$AN$238,24,FALSE)</f>
        <v>0</v>
      </c>
      <c r="T720" s="40">
        <f>VLOOKUP(D720,[1]apoio_Preços_MGS!$A$6:$AN$238,25,FALSE)</f>
        <v>4.6499401608187156</v>
      </c>
      <c r="U720" s="40">
        <f t="shared" si="369"/>
        <v>4213.4131226045401</v>
      </c>
      <c r="V720" s="41">
        <f>VLOOKUP(D720,[1]apoio_Preços_MGS!$A$6:$AN$238,27,FALSE)</f>
        <v>0.81799999999999995</v>
      </c>
      <c r="W720" s="40">
        <f t="shared" si="370"/>
        <v>3446.5719342905136</v>
      </c>
      <c r="X720" s="40">
        <f>VLOOKUP(D720,[1]apoio_Preços_MGS!$A$6:$AN$238,29,FALSE)</f>
        <v>27.513333333333332</v>
      </c>
      <c r="Y720" s="40">
        <f>VLOOKUP(D720,[1]apoio_Preços_MGS!$A$6:$AN$238,30,FALSE)</f>
        <v>51.851515151515152</v>
      </c>
      <c r="Z720" s="40">
        <f t="shared" si="346"/>
        <v>79.36484848484848</v>
      </c>
      <c r="AA720" s="40">
        <f>VLOOKUP(D720,[1]apoio_Preços_MGS!$A$6:$AN$238,32,FALSE)</f>
        <v>4.9446748294736862</v>
      </c>
      <c r="AB720" s="40">
        <f>VLOOKUP(D720,[1]apoio_Preços_MGS!$A$6:$AN$238,33,FALSE)</f>
        <v>149.87399999999997</v>
      </c>
      <c r="AC720" s="41">
        <f>VLOOKUP(D720,[1]apoio_Preços_MGS!$A$6:$AN$238,34,FALSE)</f>
        <v>3.9158639165422469E-2</v>
      </c>
      <c r="AD720" s="40">
        <f>(U720+W720+Z720+AB720+AA720+VLOOKUP(C720,[1]apoio_Prec_Folha!$A:$S,7,FALSE))*AC720</f>
        <v>330.72402113429808</v>
      </c>
      <c r="AE720" s="42">
        <f>VLOOKUP(D720,[1]apoio_Preços_MGS!$A$6:$AN$238,36,FALSE)</f>
        <v>7.0000000000000007E-2</v>
      </c>
      <c r="AF720" s="40">
        <f>(U720+W720+Z720+AB720+AD720+AA720+VLOOKUP(C720,[1]apoio_Prec_Folha!$A:$S,7,FALSE))*AE720</f>
        <v>614.35308209405719</v>
      </c>
      <c r="AG720" s="40">
        <f t="shared" si="347"/>
        <v>8839.24</v>
      </c>
      <c r="AH720" s="43">
        <f t="shared" si="348"/>
        <v>9959.7000000000007</v>
      </c>
      <c r="AI720" s="43">
        <f t="shared" si="349"/>
        <v>9959.7000000000007</v>
      </c>
      <c r="AJ720" s="43">
        <f t="shared" si="350"/>
        <v>597582</v>
      </c>
      <c r="AK720" s="44">
        <f>VLOOKUP(D720,[1]apoio_Preços_MGS!$A$6:$AN$238,39,FALSE)</f>
        <v>200.00000000000003</v>
      </c>
      <c r="AL720" s="44">
        <f>IF(J720="demais municípios",VLOOKUP(D720,[1]apoio_Preços_MGS!$A$6:$AN$238,39,FALSE),0)</f>
        <v>200.00000000000003</v>
      </c>
      <c r="AM720" s="44">
        <v>0</v>
      </c>
      <c r="AN720" s="45">
        <f t="shared" ref="AN720:AN725" si="373">AK720*K720</f>
        <v>200.00000000000003</v>
      </c>
      <c r="AO720" s="44">
        <f>VLOOKUP(D720,[1]apoio_Preços_MGS!$A$6:$AN$238,40,FALSE)</f>
        <v>551.58000000000004</v>
      </c>
      <c r="AP720" s="44">
        <f>IF(J720="demais municípios",VLOOKUP(D720,[1]apoio_Preços_MGS!$A$6:$AN$238,40,FALSE),0)</f>
        <v>551.58000000000004</v>
      </c>
      <c r="AQ720" s="44">
        <v>0</v>
      </c>
      <c r="AR720" s="45">
        <f t="shared" ref="AR720:AR725" si="374">AO720*K720</f>
        <v>551.58000000000004</v>
      </c>
      <c r="AS720" s="45">
        <f t="shared" si="365"/>
        <v>751.58</v>
      </c>
      <c r="AT720" s="45">
        <f t="shared" si="368"/>
        <v>45094.8</v>
      </c>
      <c r="AU720" s="62"/>
      <c r="AV720" s="46"/>
      <c r="AW720" s="47"/>
      <c r="AX720" s="48"/>
      <c r="AY720" s="49"/>
      <c r="BA720" s="48"/>
    </row>
    <row r="721" spans="1:53" ht="19.5" customHeight="1" x14ac:dyDescent="0.25">
      <c r="A721" s="33" t="str">
        <f t="shared" si="366"/>
        <v>64335440,027</v>
      </c>
      <c r="B721" s="33" t="str">
        <f t="shared" si="367"/>
        <v>1820,027</v>
      </c>
      <c r="C721" s="34" t="str">
        <f>VLOOKUP(D721,[1]apoio_Preços_MGS!$A$6:$B$238,2,FALSE)</f>
        <v>VIGIA DE PARQUE</v>
      </c>
      <c r="D721" s="35">
        <v>182</v>
      </c>
      <c r="E721" s="33" t="str">
        <f>VLOOKUP(D721,[1]apoio_Preços_MGS!$A$6:$F$238,6,FALSE)</f>
        <v>VIGIA DE PARQUE - (PERIC.) - 12x36 NOTURNO - 44H</v>
      </c>
      <c r="F721" s="36">
        <f>IFERROR(VLOOKUP(D721,'[1]apoio_cód catmas'!$B$2:$C$863,2,FALSE),0)</f>
        <v>64335</v>
      </c>
      <c r="G721" s="33" t="str">
        <f>IF(H721="N/A",VLOOKUP(F721&amp;40,'[1]apoio_cód catmas'!$A$1:$G$233,4,FALSE),VLOOKUP(F721&amp;H721,'[1]apoio_cód catmas'!$A$1:$G$233,4,FALSE))</f>
        <v>VIGIA DE PARQUE - 12X36 NOTURNO (PERICULOSIDADE) - 44H</v>
      </c>
      <c r="H721" s="36">
        <v>44</v>
      </c>
      <c r="I721" s="37">
        <v>2.7000000000000003E-2</v>
      </c>
      <c r="J721" s="38" t="s">
        <v>46</v>
      </c>
      <c r="K721" s="39">
        <v>4</v>
      </c>
      <c r="L721" s="39">
        <f t="shared" si="334"/>
        <v>240</v>
      </c>
      <c r="M721" s="40">
        <f>VLOOKUP(D721,[1]apoio_Preços_MGS!$A$6:$AN$238,18,FALSE)</f>
        <v>2575.3514736842117</v>
      </c>
      <c r="N721" s="40">
        <f>VLOOKUP(D721,[1]apoio_Preços_MGS!$A$6:$AN$238,19,FALSE)</f>
        <v>772.60544210526348</v>
      </c>
      <c r="O721" s="40">
        <f>VLOOKUP(D721,[1]apoio_Preços_MGS!$A$6:$AN$238,20,FALSE)</f>
        <v>779.93822878087371</v>
      </c>
      <c r="P721" s="40">
        <f>VLOOKUP(D721,[1]apoio_Preços_MGS!$A$6:$AN$238,21,FALSE)</f>
        <v>17.024854110807137</v>
      </c>
      <c r="Q721" s="40">
        <f>VLOOKUP(D721,[1]apoio_Preços_MGS!$A$6:$AN$238,22,FALSE)</f>
        <v>63.843183762565893</v>
      </c>
      <c r="R721" s="40">
        <f>VLOOKUP(D721,[1]apoio_Preços_MGS!$A$6:$AN$238,23,FALSE)</f>
        <v>0</v>
      </c>
      <c r="S721" s="40">
        <f>VLOOKUP(D721,[1]apoio_Preços_MGS!$A$6:$AN$238,24,FALSE)</f>
        <v>0</v>
      </c>
      <c r="T721" s="40">
        <f>VLOOKUP(D721,[1]apoio_Preços_MGS!$A$6:$AN$238,25,FALSE)</f>
        <v>4.6499401608187156</v>
      </c>
      <c r="U721" s="40">
        <f t="shared" si="369"/>
        <v>4213.4131226045401</v>
      </c>
      <c r="V721" s="41">
        <v>0.81799999999999995</v>
      </c>
      <c r="W721" s="40">
        <f t="shared" si="370"/>
        <v>3446.5719342905136</v>
      </c>
      <c r="X721" s="40">
        <f>VLOOKUP(D721,[1]apoio_Preços_MGS!$A$6:$AN$238,29,FALSE)</f>
        <v>27.513333333333332</v>
      </c>
      <c r="Y721" s="40">
        <f>VLOOKUP(D721,[1]apoio_Preços_MGS!$A$6:$AN$238,30,FALSE)</f>
        <v>51.851515151515152</v>
      </c>
      <c r="Z721" s="40">
        <f t="shared" si="346"/>
        <v>79.36484848484848</v>
      </c>
      <c r="AA721" s="40">
        <f>VLOOKUP(D721,[1]apoio_Preços_MGS!$A$6:$AN$238,32,FALSE)</f>
        <v>4.9446748294736862</v>
      </c>
      <c r="AB721" s="40">
        <f>VLOOKUP(D721,[1]apoio_Preços_MGS!$A$6:$AN$238,33,FALSE)</f>
        <v>149.87399999999997</v>
      </c>
      <c r="AC721" s="41">
        <f>VLOOKUP(D721,[1]apoio_Preços_MGS!$A$6:$AN$238,34,FALSE)</f>
        <v>3.9158639165422469E-2</v>
      </c>
      <c r="AD721" s="40">
        <f>(U721+W721+Z721+AB721+AA721+VLOOKUP(C721,[1]apoio_Prec_Folha!$A:$S,7,FALSE))*AC721</f>
        <v>330.72402113429808</v>
      </c>
      <c r="AE721" s="42">
        <f>VLOOKUP(D721,[1]apoio_Preços_MGS!$A$6:$AN$238,36,FALSE)</f>
        <v>7.0000000000000007E-2</v>
      </c>
      <c r="AF721" s="40">
        <f>(U721+W721+Z721+AB721+AD721+AA721+VLOOKUP(C721,[1]apoio_Prec_Folha!$A:$S,7,FALSE))*AE721</f>
        <v>614.35308209405719</v>
      </c>
      <c r="AG721" s="40">
        <f t="shared" si="347"/>
        <v>8839.24</v>
      </c>
      <c r="AH721" s="43">
        <f t="shared" si="348"/>
        <v>10038.9</v>
      </c>
      <c r="AI721" s="43">
        <f t="shared" si="349"/>
        <v>40155.599999999999</v>
      </c>
      <c r="AJ721" s="43">
        <f t="shared" si="350"/>
        <v>2409336</v>
      </c>
      <c r="AK721" s="44">
        <f>VLOOKUP(D721,[1]apoio_Preços_MGS!$A$6:$AN$238,39,FALSE)</f>
        <v>200.00000000000003</v>
      </c>
      <c r="AL721" s="44">
        <f>IF(J721="demais municípios",VLOOKUP(D721,[1]apoio_Preços_MGS!$A$6:$AN$238,39,FALSE),0)</f>
        <v>200.00000000000003</v>
      </c>
      <c r="AM721" s="44">
        <v>0</v>
      </c>
      <c r="AN721" s="45">
        <f t="shared" si="373"/>
        <v>800.00000000000011</v>
      </c>
      <c r="AO721" s="44">
        <f>VLOOKUP(D721,[1]apoio_Preços_MGS!$A$6:$AN$238,40,FALSE)</f>
        <v>551.58000000000004</v>
      </c>
      <c r="AP721" s="44">
        <f>IF(J721="demais municípios",VLOOKUP(D721,[1]apoio_Preços_MGS!$A$6:$AN$238,40,FALSE),0)</f>
        <v>551.58000000000004</v>
      </c>
      <c r="AQ721" s="44">
        <v>0</v>
      </c>
      <c r="AR721" s="45">
        <f t="shared" si="374"/>
        <v>2206.3200000000002</v>
      </c>
      <c r="AS721" s="45">
        <f t="shared" si="365"/>
        <v>3006.32</v>
      </c>
      <c r="AT721" s="45">
        <f t="shared" si="368"/>
        <v>180379.2</v>
      </c>
      <c r="AU721" s="62"/>
      <c r="AV721" s="46"/>
      <c r="AW721" s="47"/>
      <c r="AX721" s="48"/>
      <c r="AY721" s="49"/>
      <c r="BA721" s="48"/>
    </row>
    <row r="722" spans="1:53" ht="19.5" customHeight="1" x14ac:dyDescent="0.25">
      <c r="A722" s="33" t="str">
        <f t="shared" si="366"/>
        <v>64335440,03</v>
      </c>
      <c r="B722" s="33" t="str">
        <f t="shared" si="367"/>
        <v>1820,03</v>
      </c>
      <c r="C722" s="34" t="str">
        <f>VLOOKUP(D722,[1]apoio_Preços_MGS!$A$6:$B$238,2,FALSE)</f>
        <v>VIGIA DE PARQUE</v>
      </c>
      <c r="D722" s="35">
        <v>182</v>
      </c>
      <c r="E722" s="33" t="str">
        <f>VLOOKUP(D722,[1]apoio_Preços_MGS!$A$6:$F$238,6,FALSE)</f>
        <v>VIGIA DE PARQUE - (PERIC.) - 12x36 NOTURNO - 44H</v>
      </c>
      <c r="F722" s="36">
        <f>IFERROR(VLOOKUP(D722,'[1]apoio_cód catmas'!$B$2:$C$863,2,FALSE),0)</f>
        <v>64335</v>
      </c>
      <c r="G722" s="33" t="str">
        <f>IF(H722="N/A",VLOOKUP(F722&amp;40,'[1]apoio_cód catmas'!$A$1:$G$233,4,FALSE),VLOOKUP(F722&amp;H722,'[1]apoio_cód catmas'!$A$1:$G$233,4,FALSE))</f>
        <v>VIGIA DE PARQUE - 12X36 NOTURNO (PERICULOSIDADE) - 44H</v>
      </c>
      <c r="H722" s="36">
        <v>44</v>
      </c>
      <c r="I722" s="37">
        <v>0.03</v>
      </c>
      <c r="J722" s="38" t="s">
        <v>46</v>
      </c>
      <c r="K722" s="39">
        <f>16-1</f>
        <v>15</v>
      </c>
      <c r="L722" s="39">
        <f t="shared" si="334"/>
        <v>900</v>
      </c>
      <c r="M722" s="40">
        <f>VLOOKUP(D722,[1]apoio_Preços_MGS!$A$6:$AN$238,18,FALSE)</f>
        <v>2575.3514736842117</v>
      </c>
      <c r="N722" s="40">
        <f>VLOOKUP(D722,[1]apoio_Preços_MGS!$A$6:$AN$238,19,FALSE)</f>
        <v>772.60544210526348</v>
      </c>
      <c r="O722" s="40">
        <f>VLOOKUP(D722,[1]apoio_Preços_MGS!$A$6:$AN$238,20,FALSE)</f>
        <v>779.93822878087371</v>
      </c>
      <c r="P722" s="40">
        <f>VLOOKUP(D722,[1]apoio_Preços_MGS!$A$6:$AN$238,21,FALSE)</f>
        <v>17.024854110807137</v>
      </c>
      <c r="Q722" s="40">
        <f>VLOOKUP(D722,[1]apoio_Preços_MGS!$A$6:$AN$238,22,FALSE)</f>
        <v>63.843183762565893</v>
      </c>
      <c r="R722" s="40">
        <f>VLOOKUP(D722,[1]apoio_Preços_MGS!$A$6:$AN$238,23,FALSE)</f>
        <v>0</v>
      </c>
      <c r="S722" s="40">
        <f>VLOOKUP(D722,[1]apoio_Preços_MGS!$A$6:$AN$238,24,FALSE)</f>
        <v>0</v>
      </c>
      <c r="T722" s="40">
        <f>VLOOKUP(D722,[1]apoio_Preços_MGS!$A$6:$AN$238,25,FALSE)</f>
        <v>4.6499401608187156</v>
      </c>
      <c r="U722" s="40">
        <f t="shared" si="369"/>
        <v>4213.4131226045401</v>
      </c>
      <c r="V722" s="41">
        <f>VLOOKUP(D722,[1]apoio_Preços_MGS!$A$6:$AN$238,27,FALSE)</f>
        <v>0.81799999999999995</v>
      </c>
      <c r="W722" s="40">
        <f t="shared" si="370"/>
        <v>3446.5719342905136</v>
      </c>
      <c r="X722" s="40">
        <f>VLOOKUP(D722,[1]apoio_Preços_MGS!$A$6:$AN$238,29,FALSE)</f>
        <v>27.513333333333332</v>
      </c>
      <c r="Y722" s="40">
        <f>VLOOKUP(D722,[1]apoio_Preços_MGS!$A$6:$AN$238,30,FALSE)</f>
        <v>51.851515151515152</v>
      </c>
      <c r="Z722" s="40">
        <f t="shared" si="346"/>
        <v>79.36484848484848</v>
      </c>
      <c r="AA722" s="40">
        <f>VLOOKUP(D722,[1]apoio_Preços_MGS!$A$6:$AN$238,32,FALSE)</f>
        <v>4.9446748294736862</v>
      </c>
      <c r="AB722" s="40">
        <f>VLOOKUP(D722,[1]apoio_Preços_MGS!$A$6:$AN$238,33,FALSE)</f>
        <v>149.87399999999997</v>
      </c>
      <c r="AC722" s="41">
        <f>VLOOKUP(D722,[1]apoio_Preços_MGS!$A$6:$AN$238,34,FALSE)</f>
        <v>3.9158639165422469E-2</v>
      </c>
      <c r="AD722" s="40">
        <f>(U722+W722+Z722+AB722+AA722+VLOOKUP(C722,[1]apoio_Prec_Folha!$A:$S,7,FALSE))*AC722</f>
        <v>330.72402113429808</v>
      </c>
      <c r="AE722" s="42">
        <f>VLOOKUP(D722,[1]apoio_Preços_MGS!$A$6:$AN$238,36,FALSE)</f>
        <v>7.0000000000000007E-2</v>
      </c>
      <c r="AF722" s="40">
        <f>(U722+W722+Z722+AB722+AD722+AA722+VLOOKUP(C722,[1]apoio_Prec_Folha!$A:$S,7,FALSE))*AE722</f>
        <v>614.35308209405719</v>
      </c>
      <c r="AG722" s="40">
        <f t="shared" si="347"/>
        <v>8839.24</v>
      </c>
      <c r="AH722" s="43">
        <f t="shared" si="348"/>
        <v>10073.19</v>
      </c>
      <c r="AI722" s="43">
        <f t="shared" si="349"/>
        <v>151097.85</v>
      </c>
      <c r="AJ722" s="43">
        <f t="shared" si="350"/>
        <v>9065871</v>
      </c>
      <c r="AK722" s="44">
        <f>VLOOKUP(D722,[1]apoio_Preços_MGS!$A$6:$AN$238,39,FALSE)</f>
        <v>200.00000000000003</v>
      </c>
      <c r="AL722" s="44">
        <f>IF(J722="demais municípios",VLOOKUP(D722,[1]apoio_Preços_MGS!$A$6:$AN$238,39,FALSE),0)</f>
        <v>200.00000000000003</v>
      </c>
      <c r="AM722" s="44">
        <v>0</v>
      </c>
      <c r="AN722" s="45">
        <f t="shared" si="373"/>
        <v>3000.0000000000005</v>
      </c>
      <c r="AO722" s="44">
        <f>VLOOKUP(D722,[1]apoio_Preços_MGS!$A$6:$AN$238,40,FALSE)</f>
        <v>551.58000000000004</v>
      </c>
      <c r="AP722" s="44">
        <f>IF(J722="demais municípios",VLOOKUP(D722,[1]apoio_Preços_MGS!$A$6:$AN$238,40,FALSE),0)</f>
        <v>551.58000000000004</v>
      </c>
      <c r="AQ722" s="44">
        <v>0</v>
      </c>
      <c r="AR722" s="45">
        <f t="shared" si="374"/>
        <v>8273.7000000000007</v>
      </c>
      <c r="AS722" s="45">
        <f t="shared" si="365"/>
        <v>11273.7</v>
      </c>
      <c r="AT722" s="45">
        <f t="shared" si="368"/>
        <v>676422</v>
      </c>
      <c r="AU722" s="62"/>
      <c r="AV722" s="46"/>
      <c r="AW722" s="47"/>
      <c r="AX722" s="48"/>
      <c r="AY722" s="49"/>
      <c r="BA722" s="48"/>
    </row>
    <row r="723" spans="1:53" ht="19.5" customHeight="1" x14ac:dyDescent="0.25">
      <c r="A723" s="33" t="str">
        <f t="shared" si="366"/>
        <v>64335440,04</v>
      </c>
      <c r="B723" s="33" t="str">
        <f t="shared" si="367"/>
        <v>1820,04</v>
      </c>
      <c r="C723" s="34" t="str">
        <f>VLOOKUP(D723,[1]apoio_Preços_MGS!$A$6:$B$238,2,FALSE)</f>
        <v>VIGIA DE PARQUE</v>
      </c>
      <c r="D723" s="35">
        <v>182</v>
      </c>
      <c r="E723" s="33" t="str">
        <f>VLOOKUP(D723,[1]apoio_Preços_MGS!$A$6:$F$238,6,FALSE)</f>
        <v>VIGIA DE PARQUE - (PERIC.) - 12x36 NOTURNO - 44H</v>
      </c>
      <c r="F723" s="36">
        <f>IFERROR(VLOOKUP(D723,'[1]apoio_cód catmas'!$B$2:$C$863,2,FALSE),0)</f>
        <v>64335</v>
      </c>
      <c r="G723" s="33" t="str">
        <f>IF(H723="N/A",VLOOKUP(F723&amp;40,'[1]apoio_cód catmas'!$A$1:$G$233,4,FALSE),VLOOKUP(F723&amp;H723,'[1]apoio_cód catmas'!$A$1:$G$233,4,FALSE))</f>
        <v>VIGIA DE PARQUE - 12X36 NOTURNO (PERICULOSIDADE) - 44H</v>
      </c>
      <c r="H723" s="36">
        <v>44</v>
      </c>
      <c r="I723" s="37">
        <v>0.04</v>
      </c>
      <c r="J723" s="38" t="s">
        <v>46</v>
      </c>
      <c r="K723" s="39">
        <v>2</v>
      </c>
      <c r="L723" s="39">
        <f>K723*56</f>
        <v>112</v>
      </c>
      <c r="M723" s="40">
        <f>VLOOKUP(D723,[1]apoio_Preços_MGS!$A$6:$AN$238,18,FALSE)</f>
        <v>2575.3514736842117</v>
      </c>
      <c r="N723" s="40">
        <f>VLOOKUP(D723,[1]apoio_Preços_MGS!$A$6:$AN$238,19,FALSE)</f>
        <v>772.60544210526348</v>
      </c>
      <c r="O723" s="40">
        <f>VLOOKUP(D723,[1]apoio_Preços_MGS!$A$6:$AN$238,20,FALSE)</f>
        <v>779.93822878087371</v>
      </c>
      <c r="P723" s="40">
        <f>VLOOKUP(D723,[1]apoio_Preços_MGS!$A$6:$AN$238,21,FALSE)</f>
        <v>17.024854110807137</v>
      </c>
      <c r="Q723" s="40">
        <f>VLOOKUP(D723,[1]apoio_Preços_MGS!$A$6:$AN$238,22,FALSE)</f>
        <v>63.843183762565893</v>
      </c>
      <c r="R723" s="40">
        <f>VLOOKUP(D723,[1]apoio_Preços_MGS!$A$6:$AN$238,23,FALSE)</f>
        <v>0</v>
      </c>
      <c r="S723" s="40">
        <f>VLOOKUP(D723,[1]apoio_Preços_MGS!$A$6:$AN$238,24,FALSE)</f>
        <v>0</v>
      </c>
      <c r="T723" s="40">
        <f>VLOOKUP(D723,[1]apoio_Preços_MGS!$A$6:$AN$238,25,FALSE)</f>
        <v>4.6499401608187156</v>
      </c>
      <c r="U723" s="40">
        <f t="shared" si="369"/>
        <v>4213.4131226045401</v>
      </c>
      <c r="V723" s="41">
        <f>VLOOKUP(D723,[1]apoio_Preços_MGS!$A$6:$AN$238,27,FALSE)</f>
        <v>0.81799999999999995</v>
      </c>
      <c r="W723" s="40">
        <f t="shared" si="370"/>
        <v>3446.5719342905136</v>
      </c>
      <c r="X723" s="40">
        <f>VLOOKUP(D723,[1]apoio_Preços_MGS!$A$6:$AN$238,29,FALSE)</f>
        <v>27.513333333333332</v>
      </c>
      <c r="Y723" s="40">
        <f>VLOOKUP(D723,[1]apoio_Preços_MGS!$A$6:$AN$238,30,FALSE)</f>
        <v>51.851515151515152</v>
      </c>
      <c r="Z723" s="40">
        <f t="shared" si="346"/>
        <v>79.36484848484848</v>
      </c>
      <c r="AA723" s="40">
        <f>VLOOKUP(D723,[1]apoio_Preços_MGS!$A$6:$AN$238,32,FALSE)</f>
        <v>4.9446748294736862</v>
      </c>
      <c r="AB723" s="40">
        <f>VLOOKUP(D723,[1]apoio_Preços_MGS!$A$6:$AN$238,33,FALSE)</f>
        <v>149.87399999999997</v>
      </c>
      <c r="AC723" s="41">
        <f>VLOOKUP(D723,[1]apoio_Preços_MGS!$A$6:$AN$238,34,FALSE)</f>
        <v>3.9158639165422469E-2</v>
      </c>
      <c r="AD723" s="40">
        <f>(U723+W723+Z723+AB723+AA723+VLOOKUP(C723,[1]apoio_Prec_Folha!$A:$S,7,FALSE))*AC723</f>
        <v>330.72402113429808</v>
      </c>
      <c r="AE723" s="42">
        <f>VLOOKUP(D723,[1]apoio_Preços_MGS!$A$6:$AN$238,36,FALSE)</f>
        <v>7.0000000000000007E-2</v>
      </c>
      <c r="AF723" s="40">
        <f>(U723+W723+Z723+AB723+AD723+AA723+VLOOKUP(C723,[1]apoio_Prec_Folha!$A:$S,7,FALSE))*AE723</f>
        <v>614.35308209405719</v>
      </c>
      <c r="AG723" s="40">
        <f t="shared" si="347"/>
        <v>8839.24</v>
      </c>
      <c r="AH723" s="43">
        <f t="shared" si="348"/>
        <v>10189.34</v>
      </c>
      <c r="AI723" s="43">
        <f t="shared" si="349"/>
        <v>20378.68</v>
      </c>
      <c r="AJ723" s="43">
        <f t="shared" si="350"/>
        <v>1141206.08</v>
      </c>
      <c r="AK723" s="44">
        <f>VLOOKUP(D723,[1]apoio_Preços_MGS!$A$6:$AN$238,39,FALSE)</f>
        <v>200.00000000000003</v>
      </c>
      <c r="AL723" s="44">
        <f>IF(J723="demais municípios",VLOOKUP(D723,[1]apoio_Preços_MGS!$A$6:$AN$238,39,FALSE),0)</f>
        <v>200.00000000000003</v>
      </c>
      <c r="AM723" s="44">
        <v>0</v>
      </c>
      <c r="AN723" s="45">
        <f t="shared" si="373"/>
        <v>400.00000000000006</v>
      </c>
      <c r="AO723" s="44">
        <f>VLOOKUP(D723,[1]apoio_Preços_MGS!$A$6:$AN$238,40,FALSE)</f>
        <v>551.58000000000004</v>
      </c>
      <c r="AP723" s="44">
        <f>IF(J723="demais municípios",VLOOKUP(D723,[1]apoio_Preços_MGS!$A$6:$AN$238,40,FALSE),0)</f>
        <v>551.58000000000004</v>
      </c>
      <c r="AQ723" s="44">
        <v>0</v>
      </c>
      <c r="AR723" s="45">
        <f t="shared" si="374"/>
        <v>1103.1600000000001</v>
      </c>
      <c r="AS723" s="45">
        <f t="shared" si="365"/>
        <v>1503.16</v>
      </c>
      <c r="AT723" s="45">
        <f t="shared" si="368"/>
        <v>90189.6</v>
      </c>
      <c r="AU723" s="62"/>
      <c r="AV723" s="46"/>
      <c r="AW723" s="47"/>
      <c r="AX723" s="48"/>
      <c r="AY723" s="49"/>
      <c r="BA723" s="48"/>
    </row>
    <row r="724" spans="1:53" ht="19.5" customHeight="1" x14ac:dyDescent="0.25">
      <c r="A724" s="33" t="str">
        <f t="shared" si="366"/>
        <v>64335440,05</v>
      </c>
      <c r="B724" s="33" t="str">
        <f t="shared" si="367"/>
        <v>1820,05</v>
      </c>
      <c r="C724" s="34" t="str">
        <f>VLOOKUP(D724,[1]apoio_Preços_MGS!$A$6:$B$238,2,FALSE)</f>
        <v>VIGIA DE PARQUE</v>
      </c>
      <c r="D724" s="35">
        <v>182</v>
      </c>
      <c r="E724" s="33" t="str">
        <f>VLOOKUP(D724,[1]apoio_Preços_MGS!$A$6:$F$238,6,FALSE)</f>
        <v>VIGIA DE PARQUE - (PERIC.) - 12x36 NOTURNO - 44H</v>
      </c>
      <c r="F724" s="36">
        <f>IFERROR(VLOOKUP(D724,'[1]apoio_cód catmas'!$B$2:$C$863,2,FALSE),0)</f>
        <v>64335</v>
      </c>
      <c r="G724" s="33" t="str">
        <f>IF(H724="N/A",VLOOKUP(F724&amp;40,'[1]apoio_cód catmas'!$A$1:$G$233,4,FALSE),VLOOKUP(F724&amp;H724,'[1]apoio_cód catmas'!$A$1:$G$233,4,FALSE))</f>
        <v>VIGIA DE PARQUE - 12X36 NOTURNO (PERICULOSIDADE) - 44H</v>
      </c>
      <c r="H724" s="36">
        <v>44</v>
      </c>
      <c r="I724" s="37">
        <v>0.05</v>
      </c>
      <c r="J724" s="38" t="s">
        <v>46</v>
      </c>
      <c r="K724" s="39">
        <v>1</v>
      </c>
      <c r="L724" s="39">
        <f>K724*56</f>
        <v>56</v>
      </c>
      <c r="M724" s="40">
        <f>VLOOKUP(D724,[1]apoio_Preços_MGS!$A$6:$AN$238,18,FALSE)</f>
        <v>2575.3514736842117</v>
      </c>
      <c r="N724" s="40">
        <f>VLOOKUP(D724,[1]apoio_Preços_MGS!$A$6:$AN$238,19,FALSE)</f>
        <v>772.60544210526348</v>
      </c>
      <c r="O724" s="40">
        <f>VLOOKUP(D724,[1]apoio_Preços_MGS!$A$6:$AN$238,20,FALSE)</f>
        <v>779.93822878087371</v>
      </c>
      <c r="P724" s="40">
        <f>VLOOKUP(D724,[1]apoio_Preços_MGS!$A$6:$AN$238,21,FALSE)</f>
        <v>17.024854110807137</v>
      </c>
      <c r="Q724" s="40">
        <f>VLOOKUP(D724,[1]apoio_Preços_MGS!$A$6:$AN$238,22,FALSE)</f>
        <v>63.843183762565893</v>
      </c>
      <c r="R724" s="40">
        <f>VLOOKUP(D724,[1]apoio_Preços_MGS!$A$6:$AN$238,23,FALSE)</f>
        <v>0</v>
      </c>
      <c r="S724" s="40">
        <f>VLOOKUP(D724,[1]apoio_Preços_MGS!$A$6:$AN$238,24,FALSE)</f>
        <v>0</v>
      </c>
      <c r="T724" s="40">
        <f>VLOOKUP(D724,[1]apoio_Preços_MGS!$A$6:$AN$238,25,FALSE)</f>
        <v>4.6499401608187156</v>
      </c>
      <c r="U724" s="40">
        <f t="shared" si="369"/>
        <v>4213.4131226045401</v>
      </c>
      <c r="V724" s="41">
        <f>VLOOKUP(D724,[1]apoio_Preços_MGS!$A$6:$AN$238,27,FALSE)</f>
        <v>0.81799999999999995</v>
      </c>
      <c r="W724" s="40">
        <f t="shared" si="370"/>
        <v>3446.5719342905136</v>
      </c>
      <c r="X724" s="40">
        <f>VLOOKUP(D724,[1]apoio_Preços_MGS!$A$6:$AN$238,29,FALSE)</f>
        <v>27.513333333333332</v>
      </c>
      <c r="Y724" s="40">
        <f>VLOOKUP(D724,[1]apoio_Preços_MGS!$A$6:$AN$238,30,FALSE)</f>
        <v>51.851515151515152</v>
      </c>
      <c r="Z724" s="40">
        <f t="shared" si="346"/>
        <v>79.36484848484848</v>
      </c>
      <c r="AA724" s="40">
        <f>VLOOKUP(D724,[1]apoio_Preços_MGS!$A$6:$AN$238,32,FALSE)</f>
        <v>4.9446748294736862</v>
      </c>
      <c r="AB724" s="40">
        <f>VLOOKUP(D724,[1]apoio_Preços_MGS!$A$6:$AN$238,33,FALSE)</f>
        <v>149.87399999999997</v>
      </c>
      <c r="AC724" s="41">
        <f>VLOOKUP(D724,[1]apoio_Preços_MGS!$A$6:$AN$238,34,FALSE)</f>
        <v>3.9158639165422469E-2</v>
      </c>
      <c r="AD724" s="40">
        <f>(U724+W724+Z724+AB724+AA724+VLOOKUP(C724,[1]apoio_Prec_Folha!$A:$S,7,FALSE))*AC724</f>
        <v>330.72402113429808</v>
      </c>
      <c r="AE724" s="42">
        <f>VLOOKUP(D724,[1]apoio_Preços_MGS!$A$6:$AN$238,36,FALSE)</f>
        <v>7.0000000000000007E-2</v>
      </c>
      <c r="AF724" s="40">
        <f>(U724+W724+Z724+AB724+AD724+AA724+VLOOKUP(C724,[1]apoio_Prec_Folha!$A:$S,7,FALSE))*AE724</f>
        <v>614.35308209405719</v>
      </c>
      <c r="AG724" s="40">
        <f t="shared" si="347"/>
        <v>8839.24</v>
      </c>
      <c r="AH724" s="43">
        <f t="shared" si="348"/>
        <v>10308.14</v>
      </c>
      <c r="AI724" s="43">
        <f t="shared" si="349"/>
        <v>10308.14</v>
      </c>
      <c r="AJ724" s="43">
        <f t="shared" si="350"/>
        <v>577255.84</v>
      </c>
      <c r="AK724" s="44">
        <f>VLOOKUP(D724,[1]apoio_Preços_MGS!$A$6:$AN$238,39,FALSE)</f>
        <v>200.00000000000003</v>
      </c>
      <c r="AL724" s="44">
        <f>IF(J724="demais municípios",VLOOKUP(D724,[1]apoio_Preços_MGS!$A$6:$AN$238,39,FALSE),0)</f>
        <v>200.00000000000003</v>
      </c>
      <c r="AM724" s="44">
        <v>0</v>
      </c>
      <c r="AN724" s="45">
        <f t="shared" si="373"/>
        <v>200.00000000000003</v>
      </c>
      <c r="AO724" s="44">
        <f>VLOOKUP(D724,[1]apoio_Preços_MGS!$A$6:$AN$238,40,FALSE)</f>
        <v>551.58000000000004</v>
      </c>
      <c r="AP724" s="44">
        <f>IF(J724="demais municípios",VLOOKUP(D724,[1]apoio_Preços_MGS!$A$6:$AN$238,40,FALSE),0)</f>
        <v>551.58000000000004</v>
      </c>
      <c r="AQ724" s="44">
        <v>0</v>
      </c>
      <c r="AR724" s="45">
        <f t="shared" si="374"/>
        <v>551.58000000000004</v>
      </c>
      <c r="AS724" s="45">
        <f t="shared" si="365"/>
        <v>751.58</v>
      </c>
      <c r="AT724" s="45">
        <f t="shared" si="368"/>
        <v>45094.8</v>
      </c>
      <c r="AU724" s="62"/>
      <c r="AV724" s="46"/>
      <c r="AW724" s="47"/>
      <c r="AX724" s="48"/>
      <c r="AY724" s="49"/>
      <c r="BA724" s="48"/>
    </row>
    <row r="725" spans="1:53" ht="19.5" customHeight="1" x14ac:dyDescent="0.25">
      <c r="A725" s="33" t="str">
        <f t="shared" si="366"/>
        <v>64335440,05</v>
      </c>
      <c r="B725" s="33" t="str">
        <f t="shared" si="367"/>
        <v>1820,05</v>
      </c>
      <c r="C725" s="34" t="str">
        <f>VLOOKUP(D725,[1]apoio_Preços_MGS!$A$6:$B$238,2,FALSE)</f>
        <v>VIGIA DE PARQUE</v>
      </c>
      <c r="D725" s="35">
        <v>182</v>
      </c>
      <c r="E725" s="33" t="str">
        <f>VLOOKUP(D725,[1]apoio_Preços_MGS!$A$6:$F$238,6,FALSE)</f>
        <v>VIGIA DE PARQUE - (PERIC.) - 12x36 NOTURNO - 44H</v>
      </c>
      <c r="F725" s="36">
        <f>IFERROR(VLOOKUP(D725,'[1]apoio_cód catmas'!$B$2:$C$863,2,FALSE),0)</f>
        <v>64335</v>
      </c>
      <c r="G725" s="33" t="str">
        <f>IF(H725="N/A",VLOOKUP(F725&amp;40,'[1]apoio_cód catmas'!$A$1:$G$233,4,FALSE),VLOOKUP(F725&amp;H725,'[1]apoio_cód catmas'!$A$1:$G$233,4,FALSE))</f>
        <v>VIGIA DE PARQUE - 12X36 NOTURNO (PERICULOSIDADE) - 44H</v>
      </c>
      <c r="H725" s="36">
        <v>44</v>
      </c>
      <c r="I725" s="37">
        <v>0.05</v>
      </c>
      <c r="J725" s="38" t="s">
        <v>46</v>
      </c>
      <c r="K725" s="39">
        <f>14-K726</f>
        <v>7</v>
      </c>
      <c r="L725" s="39">
        <f t="shared" si="334"/>
        <v>420</v>
      </c>
      <c r="M725" s="40">
        <f>VLOOKUP(D725,[1]apoio_Preços_MGS!$A$6:$AN$238,18,FALSE)</f>
        <v>2575.3514736842117</v>
      </c>
      <c r="N725" s="40">
        <f>VLOOKUP(D725,[1]apoio_Preços_MGS!$A$6:$AN$238,19,FALSE)</f>
        <v>772.60544210526348</v>
      </c>
      <c r="O725" s="40">
        <f>VLOOKUP(D725,[1]apoio_Preços_MGS!$A$6:$AN$238,20,FALSE)</f>
        <v>779.93822878087371</v>
      </c>
      <c r="P725" s="40">
        <f>VLOOKUP(D725,[1]apoio_Preços_MGS!$A$6:$AN$238,21,FALSE)</f>
        <v>17.024854110807137</v>
      </c>
      <c r="Q725" s="40">
        <f>VLOOKUP(D725,[1]apoio_Preços_MGS!$A$6:$AN$238,22,FALSE)</f>
        <v>63.843183762565893</v>
      </c>
      <c r="R725" s="40">
        <f>VLOOKUP(D725,[1]apoio_Preços_MGS!$A$6:$AN$238,23,FALSE)</f>
        <v>0</v>
      </c>
      <c r="S725" s="40">
        <f>VLOOKUP(D725,[1]apoio_Preços_MGS!$A$6:$AN$238,24,FALSE)</f>
        <v>0</v>
      </c>
      <c r="T725" s="40">
        <f>VLOOKUP(D725,[1]apoio_Preços_MGS!$A$6:$AN$238,25,FALSE)</f>
        <v>4.6499401608187156</v>
      </c>
      <c r="U725" s="40">
        <f t="shared" si="369"/>
        <v>4213.4131226045401</v>
      </c>
      <c r="V725" s="41">
        <f>VLOOKUP(D725,[1]apoio_Preços_MGS!$A$6:$AN$238,27,FALSE)</f>
        <v>0.81799999999999995</v>
      </c>
      <c r="W725" s="40">
        <f t="shared" si="370"/>
        <v>3446.5719342905136</v>
      </c>
      <c r="X725" s="40">
        <f>VLOOKUP(D725,[1]apoio_Preços_MGS!$A$6:$AN$238,29,FALSE)</f>
        <v>27.513333333333332</v>
      </c>
      <c r="Y725" s="40">
        <f>VLOOKUP(D725,[1]apoio_Preços_MGS!$A$6:$AN$238,30,FALSE)</f>
        <v>51.851515151515152</v>
      </c>
      <c r="Z725" s="40">
        <f t="shared" si="346"/>
        <v>79.36484848484848</v>
      </c>
      <c r="AA725" s="40">
        <f>VLOOKUP(D725,[1]apoio_Preços_MGS!$A$6:$AN$238,32,FALSE)</f>
        <v>4.9446748294736862</v>
      </c>
      <c r="AB725" s="40">
        <f>VLOOKUP(D725,[1]apoio_Preços_MGS!$A$6:$AN$238,33,FALSE)</f>
        <v>149.87399999999997</v>
      </c>
      <c r="AC725" s="41">
        <f>VLOOKUP(D725,[1]apoio_Preços_MGS!$A$6:$AN$238,34,FALSE)</f>
        <v>3.9158639165422469E-2</v>
      </c>
      <c r="AD725" s="40">
        <f>(U725+W725+Z725+AB725+AA725+VLOOKUP(C725,[1]apoio_Prec_Folha!$A:$S,7,FALSE))*AC725</f>
        <v>330.72402113429808</v>
      </c>
      <c r="AE725" s="42">
        <f>VLOOKUP(D725,[1]apoio_Preços_MGS!$A$6:$AN$238,36,FALSE)</f>
        <v>7.0000000000000007E-2</v>
      </c>
      <c r="AF725" s="40">
        <f>(U725+W725+Z725+AB725+AD725+AA725+VLOOKUP(C725,[1]apoio_Prec_Folha!$A:$S,7,FALSE))*AE725</f>
        <v>614.35308209405719</v>
      </c>
      <c r="AG725" s="40">
        <f t="shared" si="347"/>
        <v>8839.24</v>
      </c>
      <c r="AH725" s="43">
        <f t="shared" si="348"/>
        <v>10308.14</v>
      </c>
      <c r="AI725" s="43">
        <f t="shared" si="349"/>
        <v>72156.98</v>
      </c>
      <c r="AJ725" s="43">
        <f t="shared" si="350"/>
        <v>4329418.8</v>
      </c>
      <c r="AK725" s="44">
        <f>VLOOKUP(D725,[1]apoio_Preços_MGS!$A$6:$AN$238,39,FALSE)</f>
        <v>200.00000000000003</v>
      </c>
      <c r="AL725" s="44">
        <f>IF(J725="demais municípios",VLOOKUP(D725,[1]apoio_Preços_MGS!$A$6:$AN$238,39,FALSE),0)</f>
        <v>200.00000000000003</v>
      </c>
      <c r="AM725" s="44">
        <v>0</v>
      </c>
      <c r="AN725" s="45">
        <f t="shared" si="373"/>
        <v>1400.0000000000002</v>
      </c>
      <c r="AO725" s="44">
        <f>VLOOKUP(D725,[1]apoio_Preços_MGS!$A$6:$AN$238,40,FALSE)</f>
        <v>551.58000000000004</v>
      </c>
      <c r="AP725" s="44">
        <f>IF(J725="demais municípios",VLOOKUP(D725,[1]apoio_Preços_MGS!$A$6:$AN$238,40,FALSE),0)</f>
        <v>551.58000000000004</v>
      </c>
      <c r="AQ725" s="44">
        <v>0</v>
      </c>
      <c r="AR725" s="45">
        <f t="shared" si="374"/>
        <v>3861.0600000000004</v>
      </c>
      <c r="AS725" s="45">
        <f t="shared" si="365"/>
        <v>5261.06</v>
      </c>
      <c r="AT725" s="45">
        <f t="shared" si="368"/>
        <v>315663.60000000003</v>
      </c>
      <c r="AU725" s="62"/>
      <c r="AV725" s="46"/>
      <c r="AW725" s="47"/>
      <c r="AX725" s="48"/>
      <c r="AY725" s="49"/>
      <c r="BA725" s="48"/>
    </row>
    <row r="726" spans="1:53" ht="19.5" customHeight="1" x14ac:dyDescent="0.25">
      <c r="A726" s="33" t="str">
        <f t="shared" si="366"/>
        <v>64335440,05</v>
      </c>
      <c r="B726" s="33" t="str">
        <f t="shared" si="367"/>
        <v>1820,05</v>
      </c>
      <c r="C726" s="34" t="str">
        <f>VLOOKUP(D726,[1]apoio_Preços_MGS!$A$6:$B$238,2,FALSE)</f>
        <v>VIGIA DE PARQUE</v>
      </c>
      <c r="D726" s="35">
        <v>182</v>
      </c>
      <c r="E726" s="33" t="str">
        <f>VLOOKUP(D726,[1]apoio_Preços_MGS!$A$6:$F$238,6,FALSE)</f>
        <v>VIGIA DE PARQUE - (PERIC.) - 12x36 NOTURNO - 44H</v>
      </c>
      <c r="F726" s="36">
        <f>IFERROR(VLOOKUP(D726,'[1]apoio_cód catmas'!$B$2:$C$863,2,FALSE),0)</f>
        <v>64335</v>
      </c>
      <c r="G726" s="33" t="str">
        <f>IF(H726="N/A",VLOOKUP(F726&amp;40,'[1]apoio_cód catmas'!$A$1:$G$233,4,FALSE),VLOOKUP(F726&amp;H726,'[1]apoio_cód catmas'!$A$1:$G$233,4,FALSE))</f>
        <v>VIGIA DE PARQUE - 12X36 NOTURNO (PERICULOSIDADE) - 44H</v>
      </c>
      <c r="H726" s="36">
        <v>44</v>
      </c>
      <c r="I726" s="37">
        <v>0.05</v>
      </c>
      <c r="J726" s="38" t="s">
        <v>47</v>
      </c>
      <c r="K726" s="39">
        <v>7</v>
      </c>
      <c r="L726" s="39">
        <f t="shared" si="334"/>
        <v>420</v>
      </c>
      <c r="M726" s="40">
        <f>VLOOKUP(D726,[1]apoio_Preços_MGS!$A$6:$AN$238,18,FALSE)</f>
        <v>2575.3514736842117</v>
      </c>
      <c r="N726" s="40">
        <f>VLOOKUP(D726,[1]apoio_Preços_MGS!$A$6:$AN$238,19,FALSE)</f>
        <v>772.60544210526348</v>
      </c>
      <c r="O726" s="40">
        <f>VLOOKUP(D726,[1]apoio_Preços_MGS!$A$6:$AN$238,20,FALSE)</f>
        <v>779.93822878087371</v>
      </c>
      <c r="P726" s="40">
        <f>VLOOKUP(D726,[1]apoio_Preços_MGS!$A$6:$AN$238,21,FALSE)</f>
        <v>17.024854110807137</v>
      </c>
      <c r="Q726" s="40">
        <f>VLOOKUP(D726,[1]apoio_Preços_MGS!$A$6:$AN$238,22,FALSE)</f>
        <v>63.843183762565893</v>
      </c>
      <c r="R726" s="40">
        <f>VLOOKUP(D726,[1]apoio_Preços_MGS!$A$6:$AN$238,23,FALSE)</f>
        <v>0</v>
      </c>
      <c r="S726" s="40">
        <f>VLOOKUP(D726,[1]apoio_Preços_MGS!$A$6:$AN$238,24,FALSE)</f>
        <v>0</v>
      </c>
      <c r="T726" s="40">
        <f>VLOOKUP(D726,[1]apoio_Preços_MGS!$A$6:$AN$238,25,FALSE)</f>
        <v>4.6499401608187156</v>
      </c>
      <c r="U726" s="40">
        <f t="shared" si="369"/>
        <v>4213.4131226045401</v>
      </c>
      <c r="V726" s="41">
        <f>VLOOKUP(D726,[1]apoio_Preços_MGS!$A$6:$AN$238,27,FALSE)</f>
        <v>0.81799999999999995</v>
      </c>
      <c r="W726" s="40">
        <f t="shared" si="370"/>
        <v>3446.5719342905136</v>
      </c>
      <c r="X726" s="40">
        <f>VLOOKUP(D726,[1]apoio_Preços_MGS!$A$6:$AN$238,29,FALSE)</f>
        <v>27.513333333333332</v>
      </c>
      <c r="Y726" s="40">
        <f>VLOOKUP(D726,[1]apoio_Preços_MGS!$A$6:$AN$238,30,FALSE)</f>
        <v>51.851515151515152</v>
      </c>
      <c r="Z726" s="40">
        <f t="shared" si="346"/>
        <v>79.36484848484848</v>
      </c>
      <c r="AA726" s="40">
        <f>VLOOKUP(D726,[1]apoio_Preços_MGS!$A$6:$AN$238,32,FALSE)</f>
        <v>4.9446748294736862</v>
      </c>
      <c r="AB726" s="40">
        <f>VLOOKUP(D726,[1]apoio_Preços_MGS!$A$6:$AN$238,33,FALSE)</f>
        <v>149.87399999999997</v>
      </c>
      <c r="AC726" s="41">
        <f>VLOOKUP(D726,[1]apoio_Preços_MGS!$A$6:$AN$238,34,FALSE)</f>
        <v>3.9158639165422469E-2</v>
      </c>
      <c r="AD726" s="40">
        <f>(U726+W726+Z726+AB726+AA726+VLOOKUP(C726,[1]apoio_Prec_Folha!$A:$S,7,FALSE))*AC726</f>
        <v>330.72402113429808</v>
      </c>
      <c r="AE726" s="42">
        <f>VLOOKUP(D726,[1]apoio_Preços_MGS!$A$6:$AN$238,36,FALSE)</f>
        <v>7.0000000000000007E-2</v>
      </c>
      <c r="AF726" s="40">
        <f>(U726+W726+Z726+AB726+AD726+AA726+VLOOKUP(C726,[1]apoio_Prec_Folha!$A:$S,7,FALSE))*AE726</f>
        <v>614.35308209405719</v>
      </c>
      <c r="AG726" s="40">
        <f t="shared" si="347"/>
        <v>8839.24</v>
      </c>
      <c r="AH726" s="43">
        <f t="shared" si="348"/>
        <v>10308.14</v>
      </c>
      <c r="AI726" s="43">
        <f t="shared" si="349"/>
        <v>72156.98</v>
      </c>
      <c r="AJ726" s="43">
        <f t="shared" si="350"/>
        <v>4329418.8</v>
      </c>
      <c r="AK726" s="44">
        <f>VLOOKUP(D726,[1]apoio_Preços_MGS!$A$6:$AN$238,39,FALSE)</f>
        <v>200.00000000000003</v>
      </c>
      <c r="AL726" s="44">
        <f>IF(J726="demais municípios",VLOOKUP(D726,[1]apoio_Preços_MGS!$A$6:$AN$238,39,FALSE),0)</f>
        <v>0</v>
      </c>
      <c r="AM726" s="44">
        <f>TRUNC(ROUND(($I726)/(1-($I726)),5)*VLOOKUP(D726,[1]apoio_Preços_MGS!$A$6:$AN$238,39,FALSE)+VLOOKUP(D726,[1]apoio_Preços_MGS!$A$6:$AN$238,39,FALSE),2)</f>
        <v>210.52</v>
      </c>
      <c r="AN726" s="45">
        <f t="shared" si="371"/>
        <v>1473.64</v>
      </c>
      <c r="AO726" s="44">
        <f>VLOOKUP(D726,[1]apoio_Preços_MGS!$A$6:$AN$238,40,FALSE)</f>
        <v>551.58000000000004</v>
      </c>
      <c r="AP726" s="44">
        <f>IF(J726="demais municípios",VLOOKUP(D726,[1]apoio_Preços_MGS!$A$6:$AN$238,40,FALSE),0)</f>
        <v>0</v>
      </c>
      <c r="AQ726" s="44">
        <f>TRUNC(ROUND(($I726)/(1-($I726)),5)*VLOOKUP(D726,[1]apoio_Preços_MGS!$A$6:$AN$238,40,FALSE)+VLOOKUP(D726,[1]apoio_Preços_MGS!$A$6:$AN$238,40,FALSE),2)</f>
        <v>580.6</v>
      </c>
      <c r="AR726" s="45">
        <f t="shared" si="372"/>
        <v>4064.2000000000003</v>
      </c>
      <c r="AS726" s="45">
        <f t="shared" si="365"/>
        <v>5537.84</v>
      </c>
      <c r="AT726" s="45">
        <f t="shared" si="368"/>
        <v>332270.40000000002</v>
      </c>
      <c r="AU726" s="62"/>
      <c r="AV726" s="46"/>
      <c r="AW726" s="47"/>
      <c r="AX726" s="48"/>
      <c r="AY726" s="49"/>
      <c r="BA726" s="48"/>
    </row>
    <row r="727" spans="1:53" ht="19.5" customHeight="1" x14ac:dyDescent="0.25">
      <c r="A727" s="33" t="str">
        <f t="shared" si="366"/>
        <v>64343440,05</v>
      </c>
      <c r="B727" s="33" t="str">
        <f t="shared" si="367"/>
        <v>1800,05</v>
      </c>
      <c r="C727" s="34" t="str">
        <f>VLOOKUP(D727,[1]apoio_Preços_MGS!$A$6:$B$238,2,FALSE)</f>
        <v>VIGIA DE PARQUE</v>
      </c>
      <c r="D727" s="35">
        <v>180</v>
      </c>
      <c r="E727" s="33" t="str">
        <f>VLOOKUP(D727,[1]apoio_Preços_MGS!$A$6:$F$238,6,FALSE)</f>
        <v>VIGIA DE PARQUE - (PERIC.) - DIARISTA DIURNO - 44H</v>
      </c>
      <c r="F727" s="36">
        <f>IFERROR(VLOOKUP(D727,'[1]apoio_cód catmas'!$B$2:$C$863,2,FALSE),0)</f>
        <v>64343</v>
      </c>
      <c r="G727" s="33" t="str">
        <f>IF(H727="N/A",VLOOKUP(F727&amp;40,'[1]apoio_cód catmas'!$A$1:$G$233,4,FALSE),VLOOKUP(F727&amp;H727,'[1]apoio_cód catmas'!$A$1:$G$233,4,FALSE))</f>
        <v>VIGIA DE PARQUE (PERICULOSIDADE) - 44H</v>
      </c>
      <c r="H727" s="36">
        <v>44</v>
      </c>
      <c r="I727" s="37">
        <v>0.05</v>
      </c>
      <c r="J727" s="38" t="s">
        <v>46</v>
      </c>
      <c r="K727" s="39">
        <f>5-K728</f>
        <v>2</v>
      </c>
      <c r="L727" s="39">
        <f t="shared" si="334"/>
        <v>120</v>
      </c>
      <c r="M727" s="40">
        <f>VLOOKUP(D727,[1]apoio_Preços_MGS!$A$6:$AN$238,18,FALSE)</f>
        <v>2575.3514736842117</v>
      </c>
      <c r="N727" s="40">
        <f>VLOOKUP(D727,[1]apoio_Preços_MGS!$A$6:$AN$238,19,FALSE)</f>
        <v>772.60544210526348</v>
      </c>
      <c r="O727" s="40">
        <f>VLOOKUP(D727,[1]apoio_Preços_MGS!$A$6:$AN$238,20,FALSE)</f>
        <v>0</v>
      </c>
      <c r="P727" s="40">
        <f>VLOOKUP(D727,[1]apoio_Preços_MGS!$A$6:$AN$238,21,FALSE)</f>
        <v>0</v>
      </c>
      <c r="Q727" s="40">
        <f>VLOOKUP(D727,[1]apoio_Preços_MGS!$A$6:$AN$238,22,FALSE)</f>
        <v>0</v>
      </c>
      <c r="R727" s="40">
        <f>VLOOKUP(D727,[1]apoio_Preços_MGS!$A$6:$AN$238,23,FALSE)</f>
        <v>0</v>
      </c>
      <c r="S727" s="40">
        <f>VLOOKUP(D727,[1]apoio_Preços_MGS!$A$6:$AN$238,24,FALSE)</f>
        <v>0</v>
      </c>
      <c r="T727" s="40">
        <f>VLOOKUP(D727,[1]apoio_Preços_MGS!$A$6:$AN$238,25,FALSE)</f>
        <v>0</v>
      </c>
      <c r="U727" s="40">
        <f t="shared" si="369"/>
        <v>3347.9569157894753</v>
      </c>
      <c r="V727" s="41">
        <f>VLOOKUP(D727,[1]apoio_Preços_MGS!$A$6:$AN$238,27,FALSE)</f>
        <v>0.81799999999999995</v>
      </c>
      <c r="W727" s="40">
        <f t="shared" si="370"/>
        <v>2738.6287571157904</v>
      </c>
      <c r="X727" s="40">
        <f>VLOOKUP(D727,[1]apoio_Preços_MGS!$A$6:$AN$238,29,FALSE)</f>
        <v>27.513333333333332</v>
      </c>
      <c r="Y727" s="40">
        <f>VLOOKUP(D727,[1]apoio_Preços_MGS!$A$6:$AN$238,30,FALSE)</f>
        <v>51.851515151515152</v>
      </c>
      <c r="Z727" s="40">
        <f t="shared" si="346"/>
        <v>79.36484848484848</v>
      </c>
      <c r="AA727" s="40">
        <f>VLOOKUP(D727,[1]apoio_Preços_MGS!$A$6:$AN$238,32,FALSE)</f>
        <v>4.9446748294736862</v>
      </c>
      <c r="AB727" s="40">
        <f>VLOOKUP(D727,[1]apoio_Preços_MGS!$A$6:$AN$238,33,FALSE)</f>
        <v>149.87399999999997</v>
      </c>
      <c r="AC727" s="41">
        <f>VLOOKUP(D727,[1]apoio_Preços_MGS!$A$6:$AN$238,34,FALSE)</f>
        <v>3.9158639165422469E-2</v>
      </c>
      <c r="AD727" s="40">
        <f>(U727+W727+Z727+AB727+AA727+VLOOKUP(C727,[1]apoio_Prec_Folha!$A:$S,7,FALSE))*AC727</f>
        <v>269.11184239354395</v>
      </c>
      <c r="AE727" s="42">
        <f>VLOOKUP(D727,[1]apoio_Preços_MGS!$A$6:$AN$238,36,FALSE)</f>
        <v>7.0000000000000007E-2</v>
      </c>
      <c r="AF727" s="40">
        <f>(U727+W727+Z727+AB727+AD727+AA727+VLOOKUP(C727,[1]apoio_Prec_Folha!$A:$S,7,FALSE))*AE727</f>
        <v>499.90227270291928</v>
      </c>
      <c r="AG727" s="40">
        <f t="shared" si="347"/>
        <v>7089.78</v>
      </c>
      <c r="AH727" s="43">
        <f t="shared" si="348"/>
        <v>8267.9500000000007</v>
      </c>
      <c r="AI727" s="43">
        <f t="shared" si="349"/>
        <v>16535.900000000001</v>
      </c>
      <c r="AJ727" s="43">
        <f t="shared" si="350"/>
        <v>992154.00000000012</v>
      </c>
      <c r="AK727" s="44">
        <f>VLOOKUP(D727,[1]apoio_Preços_MGS!$A$6:$AN$238,39,FALSE)</f>
        <v>200.00000000000003</v>
      </c>
      <c r="AL727" s="44">
        <f>IF(J727="demais municípios",VLOOKUP(D727,[1]apoio_Preços_MGS!$A$6:$AN$238,39,FALSE),0)</f>
        <v>200.00000000000003</v>
      </c>
      <c r="AM727" s="44">
        <v>0</v>
      </c>
      <c r="AN727" s="45">
        <f>AK727*K727</f>
        <v>400.00000000000006</v>
      </c>
      <c r="AO727" s="44">
        <f>VLOOKUP(D727,[1]apoio_Preços_MGS!$A$6:$AN$238,40,FALSE)</f>
        <v>551.58000000000004</v>
      </c>
      <c r="AP727" s="44">
        <f>IF(J727="demais municípios",VLOOKUP(D727,[1]apoio_Preços_MGS!$A$6:$AN$238,40,FALSE),0)</f>
        <v>551.58000000000004</v>
      </c>
      <c r="AQ727" s="44">
        <v>0</v>
      </c>
      <c r="AR727" s="45">
        <f>AO727*K727</f>
        <v>1103.1600000000001</v>
      </c>
      <c r="AS727" s="45">
        <f t="shared" si="365"/>
        <v>1503.16</v>
      </c>
      <c r="AT727" s="45">
        <f t="shared" si="368"/>
        <v>90189.6</v>
      </c>
      <c r="AU727" s="62"/>
      <c r="AV727" s="46"/>
      <c r="AW727" s="47"/>
      <c r="AX727" s="48"/>
      <c r="AY727" s="49"/>
      <c r="BA727" s="48"/>
    </row>
    <row r="728" spans="1:53" ht="19.5" customHeight="1" x14ac:dyDescent="0.25">
      <c r="A728" s="33" t="str">
        <f t="shared" si="366"/>
        <v>64343440,05</v>
      </c>
      <c r="B728" s="33" t="str">
        <f t="shared" si="367"/>
        <v>1800,05</v>
      </c>
      <c r="C728" s="34" t="str">
        <f>VLOOKUP(D728,[1]apoio_Preços_MGS!$A$6:$B$238,2,FALSE)</f>
        <v>VIGIA DE PARQUE</v>
      </c>
      <c r="D728" s="35">
        <v>180</v>
      </c>
      <c r="E728" s="33" t="str">
        <f>VLOOKUP(D728,[1]apoio_Preços_MGS!$A$6:$F$238,6,FALSE)</f>
        <v>VIGIA DE PARQUE - (PERIC.) - DIARISTA DIURNO - 44H</v>
      </c>
      <c r="F728" s="36">
        <f>IFERROR(VLOOKUP(D728,'[1]apoio_cód catmas'!$B$2:$C$863,2,FALSE),0)</f>
        <v>64343</v>
      </c>
      <c r="G728" s="33" t="str">
        <f>IF(H728="N/A",VLOOKUP(F728&amp;40,'[1]apoio_cód catmas'!$A$1:$G$233,4,FALSE),VLOOKUP(F728&amp;H728,'[1]apoio_cód catmas'!$A$1:$G$233,4,FALSE))</f>
        <v>VIGIA DE PARQUE (PERICULOSIDADE) - 44H</v>
      </c>
      <c r="H728" s="36">
        <v>44</v>
      </c>
      <c r="I728" s="37">
        <v>0.05</v>
      </c>
      <c r="J728" s="38" t="s">
        <v>47</v>
      </c>
      <c r="K728" s="39">
        <v>3</v>
      </c>
      <c r="L728" s="39">
        <f t="shared" si="334"/>
        <v>180</v>
      </c>
      <c r="M728" s="40">
        <f>VLOOKUP(D728,[1]apoio_Preços_MGS!$A$6:$AN$238,18,FALSE)</f>
        <v>2575.3514736842117</v>
      </c>
      <c r="N728" s="40">
        <f>VLOOKUP(D728,[1]apoio_Preços_MGS!$A$6:$AN$238,19,FALSE)</f>
        <v>772.60544210526348</v>
      </c>
      <c r="O728" s="40">
        <f>VLOOKUP(D728,[1]apoio_Preços_MGS!$A$6:$AN$238,20,FALSE)</f>
        <v>0</v>
      </c>
      <c r="P728" s="40">
        <f>VLOOKUP(D728,[1]apoio_Preços_MGS!$A$6:$AN$238,21,FALSE)</f>
        <v>0</v>
      </c>
      <c r="Q728" s="40">
        <f>VLOOKUP(D728,[1]apoio_Preços_MGS!$A$6:$AN$238,22,FALSE)</f>
        <v>0</v>
      </c>
      <c r="R728" s="40">
        <f>VLOOKUP(D728,[1]apoio_Preços_MGS!$A$6:$AN$238,23,FALSE)</f>
        <v>0</v>
      </c>
      <c r="S728" s="40">
        <f>VLOOKUP(D728,[1]apoio_Preços_MGS!$A$6:$AN$238,24,FALSE)</f>
        <v>0</v>
      </c>
      <c r="T728" s="40">
        <f>VLOOKUP(D728,[1]apoio_Preços_MGS!$A$6:$AN$238,25,FALSE)</f>
        <v>0</v>
      </c>
      <c r="U728" s="40">
        <f t="shared" si="369"/>
        <v>3347.9569157894753</v>
      </c>
      <c r="V728" s="41">
        <f>VLOOKUP(D728,[1]apoio_Preços_MGS!$A$6:$AN$238,27,FALSE)</f>
        <v>0.81799999999999995</v>
      </c>
      <c r="W728" s="40">
        <f t="shared" si="370"/>
        <v>2738.6287571157904</v>
      </c>
      <c r="X728" s="40">
        <f>VLOOKUP(D728,[1]apoio_Preços_MGS!$A$6:$AN$238,29,FALSE)</f>
        <v>27.513333333333332</v>
      </c>
      <c r="Y728" s="40">
        <f>VLOOKUP(D728,[1]apoio_Preços_MGS!$A$6:$AN$238,30,FALSE)</f>
        <v>51.851515151515152</v>
      </c>
      <c r="Z728" s="40">
        <f t="shared" si="346"/>
        <v>79.36484848484848</v>
      </c>
      <c r="AA728" s="40">
        <f>VLOOKUP(D728,[1]apoio_Preços_MGS!$A$6:$AN$238,32,FALSE)</f>
        <v>4.9446748294736862</v>
      </c>
      <c r="AB728" s="40">
        <f>VLOOKUP(D728,[1]apoio_Preços_MGS!$A$6:$AN$238,33,FALSE)</f>
        <v>149.87399999999997</v>
      </c>
      <c r="AC728" s="41">
        <f>VLOOKUP(D728,[1]apoio_Preços_MGS!$A$6:$AN$238,34,FALSE)</f>
        <v>3.9158639165422469E-2</v>
      </c>
      <c r="AD728" s="40">
        <f>(U728+W728+Z728+AB728+AA728+VLOOKUP(C728,[1]apoio_Prec_Folha!$A:$S,7,FALSE))*AC728</f>
        <v>269.11184239354395</v>
      </c>
      <c r="AE728" s="42">
        <f>VLOOKUP(D728,[1]apoio_Preços_MGS!$A$6:$AN$238,36,FALSE)</f>
        <v>7.0000000000000007E-2</v>
      </c>
      <c r="AF728" s="40">
        <f>(U728+W728+Z728+AB728+AD728+AA728+VLOOKUP(C728,[1]apoio_Prec_Folha!$A:$S,7,FALSE))*AE728</f>
        <v>499.90227270291928</v>
      </c>
      <c r="AG728" s="40">
        <f t="shared" si="347"/>
        <v>7089.78</v>
      </c>
      <c r="AH728" s="43">
        <f t="shared" si="348"/>
        <v>8267.9500000000007</v>
      </c>
      <c r="AI728" s="43">
        <f t="shared" si="349"/>
        <v>24803.850000000002</v>
      </c>
      <c r="AJ728" s="43">
        <f t="shared" si="350"/>
        <v>1488231.0000000002</v>
      </c>
      <c r="AK728" s="44">
        <f>VLOOKUP(D728,[1]apoio_Preços_MGS!$A$6:$AN$238,39,FALSE)</f>
        <v>200.00000000000003</v>
      </c>
      <c r="AL728" s="44">
        <f>IF(J728="demais municípios",VLOOKUP(D728,[1]apoio_Preços_MGS!$A$6:$AN$238,39,FALSE),0)</f>
        <v>0</v>
      </c>
      <c r="AM728" s="44">
        <f>TRUNC(ROUND(($I728)/(1-($I728)),5)*VLOOKUP(D728,[1]apoio_Preços_MGS!$A$6:$AN$238,39,FALSE)+VLOOKUP(D728,[1]apoio_Preços_MGS!$A$6:$AN$238,39,FALSE),2)</f>
        <v>210.52</v>
      </c>
      <c r="AN728" s="45">
        <f t="shared" si="371"/>
        <v>631.56000000000006</v>
      </c>
      <c r="AO728" s="44">
        <f>VLOOKUP(D728,[1]apoio_Preços_MGS!$A$6:$AN$238,40,FALSE)</f>
        <v>551.58000000000004</v>
      </c>
      <c r="AP728" s="44">
        <f>IF(J728="demais municípios",VLOOKUP(D728,[1]apoio_Preços_MGS!$A$6:$AN$238,40,FALSE),0)</f>
        <v>0</v>
      </c>
      <c r="AQ728" s="44">
        <f>TRUNC(ROUND(($I728)/(1-($I728)),5)*VLOOKUP(D728,[1]apoio_Preços_MGS!$A$6:$AN$238,40,FALSE)+VLOOKUP(D728,[1]apoio_Preços_MGS!$A$6:$AN$238,40,FALSE),2)</f>
        <v>580.6</v>
      </c>
      <c r="AR728" s="45">
        <f t="shared" si="372"/>
        <v>1741.8000000000002</v>
      </c>
      <c r="AS728" s="45">
        <f t="shared" si="365"/>
        <v>2373.36</v>
      </c>
      <c r="AT728" s="45">
        <f t="shared" si="368"/>
        <v>142401.60000000001</v>
      </c>
      <c r="AU728" s="62"/>
      <c r="AV728" s="46"/>
      <c r="AW728" s="47"/>
      <c r="AX728" s="48"/>
      <c r="AY728" s="49"/>
      <c r="BA728" s="48"/>
    </row>
    <row r="729" spans="1:53" ht="15" x14ac:dyDescent="0.25">
      <c r="D729" s="51"/>
      <c r="E729" s="51"/>
      <c r="G729" s="52"/>
      <c r="K729" s="39">
        <f>SUBTOTAL(9,K3:K728)</f>
        <v>22475</v>
      </c>
      <c r="AI729" s="54">
        <f>SUM(AI3:AI728)</f>
        <v>177042682.01999977</v>
      </c>
      <c r="AJ729" s="54"/>
      <c r="AK729" s="55"/>
      <c r="AL729" s="55"/>
      <c r="AM729" s="55"/>
      <c r="AN729" s="54">
        <f>SUM(AN3:AN728)</f>
        <v>4036998.0990909119</v>
      </c>
      <c r="AO729" s="54"/>
      <c r="AP729" s="54"/>
      <c r="AQ729" s="54"/>
      <c r="AR729" s="54">
        <f>SUM(AR3:AR728)</f>
        <v>12951841.740000015</v>
      </c>
      <c r="AS729" s="54">
        <f>SUM(AS3:AS728)</f>
        <v>16988839.839090932</v>
      </c>
      <c r="AT729" s="54">
        <f t="shared" si="368"/>
        <v>1019330390.3454556</v>
      </c>
      <c r="AU729" s="62"/>
      <c r="AV729" s="46"/>
      <c r="AW729" s="56"/>
      <c r="AX729" s="48"/>
      <c r="AY729" s="49"/>
      <c r="BA729" s="48"/>
    </row>
    <row r="730" spans="1:53" x14ac:dyDescent="0.25">
      <c r="G730" s="57"/>
      <c r="H730" s="57"/>
      <c r="I730" s="57"/>
      <c r="J730" s="57"/>
      <c r="L730" s="52"/>
      <c r="M730" s="22"/>
    </row>
    <row r="731" spans="1:53" ht="29.25" customHeight="1" x14ac:dyDescent="0.25">
      <c r="G731" s="59" t="s">
        <v>53</v>
      </c>
      <c r="H731" s="59"/>
      <c r="I731" s="59"/>
      <c r="J731" s="59"/>
      <c r="K731" s="59"/>
      <c r="L731" s="59"/>
      <c r="M731" s="59"/>
      <c r="N731" s="59"/>
    </row>
    <row r="732" spans="1:53" x14ac:dyDescent="0.25">
      <c r="G732" s="57" t="s">
        <v>54</v>
      </c>
      <c r="H732" s="57"/>
      <c r="I732" s="57"/>
      <c r="J732" s="57"/>
      <c r="L732" s="52"/>
      <c r="M732" s="22"/>
    </row>
    <row r="734" spans="1:53" ht="14.25" customHeight="1" x14ac:dyDescent="0.25"/>
  </sheetData>
  <autoFilter ref="A1:AT728" xr:uid="{00000000-0001-0000-0800-000000000000}">
    <filterColumn colId="21" showButton="0"/>
    <filterColumn colId="28" showButton="0"/>
    <filterColumn colId="30" showButton="0"/>
  </autoFilter>
  <mergeCells count="43">
    <mergeCell ref="G731:N731"/>
    <mergeCell ref="AO1:AO2"/>
    <mergeCell ref="AP1:AP2"/>
    <mergeCell ref="AQ1:AQ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A1:AA2"/>
    <mergeCell ref="AB1:AB2"/>
    <mergeCell ref="AC1:AD1"/>
    <mergeCell ref="AE1:AF1"/>
    <mergeCell ref="AG1:AG2"/>
    <mergeCell ref="AH1:AH2"/>
    <mergeCell ref="T1:T2"/>
    <mergeCell ref="U1:U2"/>
    <mergeCell ref="V1:W1"/>
    <mergeCell ref="X1:X2"/>
    <mergeCell ref="Y1:Y2"/>
    <mergeCell ref="Z1:Z2"/>
    <mergeCell ref="N1:N2"/>
    <mergeCell ref="O1:O2"/>
    <mergeCell ref="P1:P2"/>
    <mergeCell ref="Q1:Q2"/>
    <mergeCell ref="R1:R2"/>
    <mergeCell ref="S1:S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F1:F2"/>
  </mergeCells>
  <pageMargins left="0.32" right="0.27" top="0.69208333333333338" bottom="0.43" header="0.31496062992125984" footer="0.31496062992125984"/>
  <pageSetup paperSize="9" scale="29" fitToHeight="0" orientation="landscape" r:id="rId1"/>
  <headerFooter>
    <oddHeader>&amp;L&amp;G&amp;C&amp;"-,Negrito"SECREARIA DE ESTADO DE PLANEJAMENTO E GESTÃO - SEPLAG
PLANILHA DE PREÇO DOS POSTOS DE SERVIÇO E VALE ALIMENTAÇÃO&amp;R&amp;"-,Negrito"TA 23.0.2025-03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I.Anexo A </vt:lpstr>
      <vt:lpstr>'I.Anexo A '!Area_de_impressao</vt:lpstr>
      <vt:lpstr>'I.Anexo A 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Viana e Silva (SEPLAG)</dc:creator>
  <cp:lastModifiedBy>Camila Viana e Silva (SEPLAG)</cp:lastModifiedBy>
  <dcterms:created xsi:type="dcterms:W3CDTF">2026-10-19T16:47:59Z</dcterms:created>
  <dcterms:modified xsi:type="dcterms:W3CDTF">2026-10-19T16:49:35Z</dcterms:modified>
</cp:coreProperties>
</file>